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P:\b-on\S19-b-on\04-Informacao-de-Apoio\B-Conteudos\2019-21\2020\"/>
    </mc:Choice>
  </mc:AlternateContent>
  <xr:revisionPtr revIDLastSave="0" documentId="8_{0F6B829F-FF57-4663-B3FE-33920A80A125}" xr6:coauthVersionLast="45" xr6:coauthVersionMax="45" xr10:uidLastSave="{00000000-0000-0000-0000-000000000000}"/>
  <bookViews>
    <workbookView xWindow="28680" yWindow="-120" windowWidth="19440" windowHeight="15000" xr2:uid="{00000000-000D-0000-FFFF-FFFF00000000}"/>
  </bookViews>
  <sheets>
    <sheet name="Providers" sheetId="1" r:id="rId1"/>
    <sheet name="ICOLC Public View Feed" sheetId="2" state="hidden" r:id="rId2"/>
  </sheets>
  <definedNames>
    <definedName name="Z_249554D9_C1E6_4A20_9F45_024A9E739C37_.wvu.FilterData" localSheetId="0" hidden="1">Providers!$A$2:$I$44</definedName>
  </definedNames>
  <calcPr calcId="191029"/>
  <customWorkbookViews>
    <customWorkbookView name="Filter 1" guid="{249554D9-C1E6-4A20-9F45-024A9E739C37}" maximized="1" windowWidth="0" windowHeight="0" activeSheetId="0"/>
    <customWorkbookView name="Filter 2" guid="{C6F80B9B-82C6-4072-8A86-86F8B1C46ADC}"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1" i="2" l="1"/>
  <c r="E101" i="2"/>
  <c r="D101" i="2"/>
  <c r="C101" i="2"/>
  <c r="B101" i="2"/>
  <c r="A101" i="2"/>
  <c r="F100" i="2"/>
  <c r="E100" i="2"/>
  <c r="D100" i="2"/>
  <c r="C100" i="2"/>
  <c r="B100" i="2"/>
  <c r="A100" i="2"/>
  <c r="F99" i="2"/>
  <c r="E99" i="2"/>
  <c r="D99" i="2"/>
  <c r="C99" i="2"/>
  <c r="B99" i="2"/>
  <c r="A99" i="2"/>
  <c r="F98" i="2"/>
  <c r="E98" i="2"/>
  <c r="D98" i="2"/>
  <c r="C98" i="2"/>
  <c r="B98" i="2"/>
  <c r="A98" i="2"/>
  <c r="F97" i="2"/>
  <c r="E97" i="2"/>
  <c r="D97" i="2"/>
  <c r="C97" i="2"/>
  <c r="B97" i="2"/>
  <c r="A97" i="2"/>
  <c r="F96" i="2"/>
  <c r="E96" i="2"/>
  <c r="D96" i="2"/>
  <c r="C96" i="2"/>
  <c r="B96" i="2"/>
  <c r="A96" i="2"/>
  <c r="F95" i="2"/>
  <c r="E95" i="2"/>
  <c r="D95" i="2"/>
  <c r="C95" i="2"/>
  <c r="B95" i="2"/>
  <c r="A95" i="2"/>
  <c r="F94" i="2"/>
  <c r="E94" i="2"/>
  <c r="D94" i="2"/>
  <c r="C94" i="2"/>
  <c r="B94" i="2"/>
  <c r="A94" i="2"/>
  <c r="F93" i="2"/>
  <c r="E93" i="2"/>
  <c r="D93" i="2"/>
  <c r="C93" i="2"/>
  <c r="B93" i="2"/>
  <c r="A93" i="2"/>
  <c r="F92" i="2"/>
  <c r="E92" i="2"/>
  <c r="D92" i="2"/>
  <c r="C92" i="2"/>
  <c r="B92" i="2"/>
  <c r="A92" i="2"/>
  <c r="F91" i="2"/>
  <c r="E91" i="2"/>
  <c r="D91" i="2"/>
  <c r="C91" i="2"/>
  <c r="B91" i="2"/>
  <c r="A91" i="2"/>
  <c r="F90" i="2"/>
  <c r="E90" i="2"/>
  <c r="D90" i="2"/>
  <c r="C90" i="2"/>
  <c r="B90" i="2"/>
  <c r="A90" i="2"/>
  <c r="F89" i="2"/>
  <c r="E89" i="2"/>
  <c r="D89" i="2"/>
  <c r="C89" i="2"/>
  <c r="B89" i="2"/>
  <c r="A89" i="2"/>
  <c r="F88" i="2"/>
  <c r="E88" i="2"/>
  <c r="D88" i="2"/>
  <c r="C88" i="2"/>
  <c r="B88" i="2"/>
  <c r="A88" i="2"/>
  <c r="F87" i="2"/>
  <c r="E87" i="2"/>
  <c r="D87" i="2"/>
  <c r="C87" i="2"/>
  <c r="B87" i="2"/>
  <c r="A87" i="2"/>
  <c r="F86" i="2"/>
  <c r="E86" i="2"/>
  <c r="D86" i="2"/>
  <c r="C86" i="2"/>
  <c r="B86" i="2"/>
  <c r="A86" i="2"/>
  <c r="F85" i="2"/>
  <c r="E85" i="2"/>
  <c r="D85" i="2"/>
  <c r="C85" i="2"/>
  <c r="B85" i="2"/>
  <c r="A85" i="2"/>
  <c r="F84" i="2"/>
  <c r="E84" i="2"/>
  <c r="D84" i="2"/>
  <c r="C84" i="2"/>
  <c r="B84" i="2"/>
  <c r="A84" i="2"/>
  <c r="F83" i="2"/>
  <c r="E83" i="2"/>
  <c r="D83" i="2"/>
  <c r="C83" i="2"/>
  <c r="B83" i="2"/>
  <c r="A83" i="2"/>
  <c r="F82" i="2"/>
  <c r="E82" i="2"/>
  <c r="D82" i="2"/>
  <c r="C82" i="2"/>
  <c r="B82" i="2"/>
  <c r="A82" i="2"/>
  <c r="F81" i="2"/>
  <c r="E81" i="2"/>
  <c r="D81" i="2"/>
  <c r="C81" i="2"/>
  <c r="B81" i="2"/>
  <c r="A81" i="2"/>
  <c r="F80" i="2"/>
  <c r="E80" i="2"/>
  <c r="D80" i="2"/>
  <c r="C80" i="2"/>
  <c r="B80" i="2"/>
  <c r="A80" i="2"/>
  <c r="F79" i="2"/>
  <c r="E79" i="2"/>
  <c r="D79" i="2"/>
  <c r="C79" i="2"/>
  <c r="B79" i="2"/>
  <c r="A79" i="2"/>
  <c r="F78" i="2"/>
  <c r="E78" i="2"/>
  <c r="D78" i="2"/>
  <c r="C78" i="2"/>
  <c r="B78" i="2"/>
  <c r="A78" i="2"/>
  <c r="F77" i="2"/>
  <c r="E77" i="2"/>
  <c r="D77" i="2"/>
  <c r="C77" i="2"/>
  <c r="B77" i="2"/>
  <c r="A77" i="2"/>
  <c r="F76" i="2"/>
  <c r="E76" i="2"/>
  <c r="D76" i="2"/>
  <c r="C76" i="2"/>
  <c r="B76" i="2"/>
  <c r="A76" i="2"/>
  <c r="F75" i="2"/>
  <c r="E75" i="2"/>
  <c r="D75" i="2"/>
  <c r="C75" i="2"/>
  <c r="B75" i="2"/>
  <c r="A75" i="2"/>
  <c r="F74" i="2"/>
  <c r="E74" i="2"/>
  <c r="D74" i="2"/>
  <c r="C74" i="2"/>
  <c r="B74" i="2"/>
  <c r="A74" i="2"/>
  <c r="F73" i="2"/>
  <c r="E73" i="2"/>
  <c r="D73" i="2"/>
  <c r="C73" i="2"/>
  <c r="B73" i="2"/>
  <c r="A73" i="2"/>
  <c r="F72" i="2"/>
  <c r="E72" i="2"/>
  <c r="D72" i="2"/>
  <c r="C72" i="2"/>
  <c r="B72" i="2"/>
  <c r="A72" i="2"/>
  <c r="F71" i="2"/>
  <c r="E71" i="2"/>
  <c r="D71" i="2"/>
  <c r="C71" i="2"/>
  <c r="B71" i="2"/>
  <c r="A71" i="2"/>
  <c r="F70" i="2"/>
  <c r="E70" i="2"/>
  <c r="D70" i="2"/>
  <c r="C70" i="2"/>
  <c r="B70" i="2"/>
  <c r="A70" i="2"/>
  <c r="F69" i="2"/>
  <c r="E69" i="2"/>
  <c r="D69" i="2"/>
  <c r="C69" i="2"/>
  <c r="B69" i="2"/>
  <c r="A69" i="2"/>
  <c r="F68" i="2"/>
  <c r="E68" i="2"/>
  <c r="D68" i="2"/>
  <c r="C68" i="2"/>
  <c r="B68" i="2"/>
  <c r="A68" i="2"/>
  <c r="F67" i="2"/>
  <c r="E67" i="2"/>
  <c r="D67" i="2"/>
  <c r="C67" i="2"/>
  <c r="B67" i="2"/>
  <c r="A67" i="2"/>
  <c r="F66" i="2"/>
  <c r="E66" i="2"/>
  <c r="D66" i="2"/>
  <c r="C66" i="2"/>
  <c r="B66" i="2"/>
  <c r="A66" i="2"/>
  <c r="F65" i="2"/>
  <c r="E65" i="2"/>
  <c r="D65" i="2"/>
  <c r="C65" i="2"/>
  <c r="B65" i="2"/>
  <c r="A65" i="2"/>
  <c r="F64" i="2"/>
  <c r="E64" i="2"/>
  <c r="D64" i="2"/>
  <c r="C64" i="2"/>
  <c r="B64" i="2"/>
  <c r="A64" i="2"/>
  <c r="F63" i="2"/>
  <c r="E63" i="2"/>
  <c r="D63" i="2"/>
  <c r="C63" i="2"/>
  <c r="B63" i="2"/>
  <c r="A63" i="2"/>
  <c r="F62" i="2"/>
  <c r="E62" i="2"/>
  <c r="D62" i="2"/>
  <c r="C62" i="2"/>
  <c r="B62" i="2"/>
  <c r="A62" i="2"/>
  <c r="F61" i="2"/>
  <c r="E61" i="2"/>
  <c r="D61" i="2"/>
  <c r="C61" i="2"/>
  <c r="B61" i="2"/>
  <c r="A61" i="2"/>
  <c r="F60" i="2"/>
  <c r="E60" i="2"/>
  <c r="D60" i="2"/>
  <c r="C60" i="2"/>
  <c r="B60" i="2"/>
  <c r="A60" i="2"/>
  <c r="F59" i="2"/>
  <c r="E59" i="2"/>
  <c r="D59" i="2"/>
  <c r="C59" i="2"/>
  <c r="B59" i="2"/>
  <c r="A59" i="2"/>
  <c r="F58" i="2"/>
  <c r="E58" i="2"/>
  <c r="D58" i="2"/>
  <c r="C58" i="2"/>
  <c r="B58" i="2"/>
  <c r="A58" i="2"/>
  <c r="F57" i="2"/>
  <c r="E57" i="2"/>
  <c r="D57" i="2"/>
  <c r="C57" i="2"/>
  <c r="B57" i="2"/>
  <c r="A57" i="2"/>
  <c r="F56" i="2"/>
  <c r="E56" i="2"/>
  <c r="D56" i="2"/>
  <c r="C56" i="2"/>
  <c r="B56" i="2"/>
  <c r="A56" i="2"/>
  <c r="F55" i="2"/>
  <c r="E55" i="2"/>
  <c r="D55" i="2"/>
  <c r="C55" i="2"/>
  <c r="B55" i="2"/>
  <c r="A55" i="2"/>
  <c r="F54" i="2"/>
  <c r="E54" i="2"/>
  <c r="D54" i="2"/>
  <c r="C54" i="2"/>
  <c r="B54" i="2"/>
  <c r="A54" i="2"/>
  <c r="F53" i="2"/>
  <c r="E53" i="2"/>
  <c r="D53" i="2"/>
  <c r="C53" i="2"/>
  <c r="B53" i="2"/>
  <c r="A53" i="2"/>
  <c r="F52" i="2"/>
  <c r="E52" i="2"/>
  <c r="D52" i="2"/>
  <c r="C52" i="2"/>
  <c r="B52" i="2"/>
  <c r="A52" i="2"/>
  <c r="F51" i="2"/>
  <c r="E51" i="2"/>
  <c r="D51" i="2"/>
  <c r="C51" i="2"/>
  <c r="B51" i="2"/>
  <c r="A51" i="2"/>
  <c r="F50" i="2"/>
  <c r="E50" i="2"/>
  <c r="D50" i="2"/>
  <c r="C50" i="2"/>
  <c r="B50" i="2"/>
  <c r="A50" i="2"/>
  <c r="F49" i="2"/>
  <c r="E49" i="2"/>
  <c r="D49" i="2"/>
  <c r="C49" i="2"/>
  <c r="B49" i="2"/>
  <c r="A49" i="2"/>
  <c r="F48" i="2"/>
  <c r="E48" i="2"/>
  <c r="D48" i="2"/>
  <c r="C48" i="2"/>
  <c r="B48" i="2"/>
  <c r="A48" i="2"/>
  <c r="F47" i="2"/>
  <c r="E47" i="2"/>
  <c r="D47" i="2"/>
  <c r="C47" i="2"/>
  <c r="B47" i="2"/>
  <c r="A47" i="2"/>
  <c r="F46" i="2"/>
  <c r="E46" i="2"/>
  <c r="D46" i="2"/>
  <c r="C46" i="2"/>
  <c r="B46" i="2"/>
  <c r="A46" i="2"/>
  <c r="F45" i="2"/>
  <c r="E45" i="2"/>
  <c r="D45" i="2"/>
  <c r="C45" i="2"/>
  <c r="B45" i="2"/>
  <c r="A45" i="2"/>
  <c r="F44" i="2"/>
  <c r="E44" i="2"/>
  <c r="D44" i="2"/>
  <c r="C44" i="2"/>
  <c r="B44" i="2"/>
  <c r="A44" i="2"/>
  <c r="F43" i="2"/>
  <c r="E43" i="2"/>
  <c r="D43" i="2"/>
  <c r="C43" i="2"/>
  <c r="B43" i="2"/>
  <c r="A43" i="2"/>
  <c r="F42" i="2"/>
  <c r="E42" i="2"/>
  <c r="D42" i="2"/>
  <c r="C42" i="2"/>
  <c r="B42" i="2"/>
  <c r="A42" i="2"/>
  <c r="F41" i="2"/>
  <c r="E41" i="2"/>
  <c r="D41" i="2"/>
  <c r="C41" i="2"/>
  <c r="B41" i="2"/>
  <c r="A41" i="2"/>
  <c r="F40" i="2"/>
  <c r="E40" i="2"/>
  <c r="D40" i="2"/>
  <c r="C40" i="2"/>
  <c r="B40" i="2"/>
  <c r="A40" i="2"/>
  <c r="F39" i="2"/>
  <c r="E39" i="2"/>
  <c r="D39" i="2"/>
  <c r="C39" i="2"/>
  <c r="B39" i="2"/>
  <c r="A39" i="2"/>
  <c r="F38" i="2"/>
  <c r="E38" i="2"/>
  <c r="D38" i="2"/>
  <c r="C38" i="2"/>
  <c r="B38" i="2"/>
  <c r="A38" i="2"/>
  <c r="F37" i="2"/>
  <c r="E37" i="2"/>
  <c r="D37" i="2"/>
  <c r="C37" i="2"/>
  <c r="B37" i="2"/>
  <c r="A37" i="2"/>
  <c r="F36" i="2"/>
  <c r="E36" i="2"/>
  <c r="D36" i="2"/>
  <c r="C36" i="2"/>
  <c r="B36" i="2"/>
  <c r="A36" i="2"/>
  <c r="F35" i="2"/>
  <c r="E35" i="2"/>
  <c r="D35" i="2"/>
  <c r="C35" i="2"/>
  <c r="B35" i="2"/>
  <c r="A35" i="2"/>
  <c r="F34" i="2"/>
  <c r="E34" i="2"/>
  <c r="D34" i="2"/>
  <c r="C34" i="2"/>
  <c r="B34" i="2"/>
  <c r="A34" i="2"/>
  <c r="F33" i="2"/>
  <c r="E33" i="2"/>
  <c r="D33" i="2"/>
  <c r="C33" i="2"/>
  <c r="B33" i="2"/>
  <c r="A33" i="2"/>
  <c r="F32" i="2"/>
  <c r="E32" i="2"/>
  <c r="D32" i="2"/>
  <c r="C32" i="2"/>
  <c r="B32" i="2"/>
  <c r="A32" i="2"/>
  <c r="F31" i="2"/>
  <c r="E31" i="2"/>
  <c r="D31" i="2"/>
  <c r="C31" i="2"/>
  <c r="B31" i="2"/>
  <c r="A31" i="2"/>
  <c r="F30" i="2"/>
  <c r="E30" i="2"/>
  <c r="D30" i="2"/>
  <c r="C30" i="2"/>
  <c r="B30" i="2"/>
  <c r="A30" i="2"/>
  <c r="F29" i="2"/>
  <c r="E29" i="2"/>
  <c r="D29" i="2"/>
  <c r="C29" i="2"/>
  <c r="B29" i="2"/>
  <c r="A29" i="2"/>
  <c r="F28" i="2"/>
  <c r="E28" i="2"/>
  <c r="D28" i="2"/>
  <c r="C28" i="2"/>
  <c r="B28" i="2"/>
  <c r="A28" i="2"/>
  <c r="F27" i="2"/>
  <c r="E27" i="2"/>
  <c r="D27" i="2"/>
  <c r="C27" i="2"/>
  <c r="B27" i="2"/>
  <c r="A27" i="2"/>
  <c r="F26" i="2"/>
  <c r="E26" i="2"/>
  <c r="D26" i="2"/>
  <c r="C26" i="2"/>
  <c r="B26" i="2"/>
  <c r="A26" i="2"/>
  <c r="F25" i="2"/>
  <c r="E25" i="2"/>
  <c r="D25" i="2"/>
  <c r="C25" i="2"/>
  <c r="B25" i="2"/>
  <c r="A25" i="2"/>
  <c r="F24" i="2"/>
  <c r="E24" i="2"/>
  <c r="D24" i="2"/>
  <c r="C24" i="2"/>
  <c r="B24" i="2"/>
  <c r="A24" i="2"/>
  <c r="F23" i="2"/>
  <c r="E23" i="2"/>
  <c r="D23" i="2"/>
  <c r="C23" i="2"/>
  <c r="B23" i="2"/>
  <c r="A23" i="2"/>
  <c r="F22" i="2"/>
  <c r="E22" i="2"/>
  <c r="D22" i="2"/>
  <c r="C22" i="2"/>
  <c r="B22" i="2"/>
  <c r="A22" i="2"/>
  <c r="F21" i="2"/>
  <c r="E21" i="2"/>
  <c r="D21" i="2"/>
  <c r="C21" i="2"/>
  <c r="B21" i="2"/>
  <c r="A21" i="2"/>
  <c r="F20" i="2"/>
  <c r="E20" i="2"/>
  <c r="D20" i="2"/>
  <c r="C20" i="2"/>
  <c r="B20" i="2"/>
  <c r="A20" i="2"/>
  <c r="F19" i="2"/>
  <c r="E19" i="2"/>
  <c r="D19" i="2"/>
  <c r="C19" i="2"/>
  <c r="B19" i="2"/>
  <c r="A19" i="2"/>
  <c r="F18" i="2"/>
  <c r="E18" i="2"/>
  <c r="D18" i="2"/>
  <c r="C18" i="2"/>
  <c r="B18" i="2"/>
  <c r="A18" i="2"/>
  <c r="F17" i="2"/>
  <c r="E17" i="2"/>
  <c r="D17" i="2"/>
  <c r="C17" i="2"/>
  <c r="B17" i="2"/>
  <c r="A17" i="2"/>
  <c r="F16" i="2"/>
  <c r="E16" i="2"/>
  <c r="D16" i="2"/>
  <c r="C16" i="2"/>
  <c r="B16" i="2"/>
  <c r="A16" i="2"/>
  <c r="F15" i="2"/>
  <c r="E15" i="2"/>
  <c r="D15" i="2"/>
  <c r="C15" i="2"/>
  <c r="B15" i="2"/>
  <c r="A15" i="2"/>
  <c r="F14" i="2"/>
  <c r="E14" i="2"/>
  <c r="D14" i="2"/>
  <c r="C14" i="2"/>
  <c r="B14" i="2"/>
  <c r="A14" i="2"/>
  <c r="F13" i="2"/>
  <c r="E13" i="2"/>
  <c r="D13" i="2"/>
  <c r="C13" i="2"/>
  <c r="B13" i="2"/>
  <c r="A13" i="2"/>
  <c r="F12" i="2"/>
  <c r="E12" i="2"/>
  <c r="D12" i="2"/>
  <c r="C12" i="2"/>
  <c r="B12" i="2"/>
  <c r="A12" i="2"/>
  <c r="F11" i="2"/>
  <c r="E11" i="2"/>
  <c r="D11" i="2"/>
  <c r="C11" i="2"/>
  <c r="B11" i="2"/>
  <c r="A11" i="2"/>
  <c r="F10" i="2"/>
  <c r="E10" i="2"/>
  <c r="D10" i="2"/>
  <c r="C10" i="2"/>
  <c r="B10" i="2"/>
  <c r="A10" i="2"/>
  <c r="F9" i="2"/>
  <c r="E9" i="2"/>
  <c r="D9" i="2"/>
  <c r="C9" i="2"/>
  <c r="B9" i="2"/>
  <c r="A9" i="2"/>
  <c r="F8" i="2"/>
  <c r="E8" i="2"/>
  <c r="D8" i="2"/>
  <c r="C8" i="2"/>
  <c r="B8" i="2"/>
  <c r="A8" i="2"/>
  <c r="F7" i="2"/>
  <c r="E7" i="2"/>
  <c r="D7" i="2"/>
  <c r="C7" i="2"/>
  <c r="B7" i="2"/>
  <c r="A7" i="2"/>
  <c r="F6" i="2"/>
  <c r="E6" i="2"/>
  <c r="D6" i="2"/>
  <c r="C6" i="2"/>
  <c r="B6" i="2"/>
  <c r="A6" i="2"/>
  <c r="F5" i="2"/>
  <c r="E5" i="2"/>
  <c r="D5" i="2"/>
  <c r="C5" i="2"/>
  <c r="B5" i="2"/>
  <c r="A5" i="2"/>
  <c r="F4" i="2"/>
  <c r="E4" i="2"/>
  <c r="D4" i="2"/>
  <c r="C4" i="2"/>
  <c r="B4" i="2"/>
  <c r="A4" i="2"/>
  <c r="F3" i="2"/>
  <c r="E3" i="2"/>
  <c r="D3" i="2"/>
  <c r="C3" i="2"/>
  <c r="B3" i="2"/>
  <c r="A3" i="2"/>
  <c r="F2" i="2"/>
  <c r="E2" i="2"/>
  <c r="D2" i="2"/>
  <c r="C2" i="2"/>
  <c r="B2" i="2"/>
  <c r="A2" i="2"/>
  <c r="G1" i="2"/>
  <c r="F1" i="2"/>
  <c r="E1" i="2"/>
  <c r="D1" i="2"/>
  <c r="C1" i="2"/>
  <c r="B1" i="2"/>
  <c r="A1" i="2"/>
  <c r="D42" i="1"/>
  <c r="C42" i="1"/>
  <c r="D36" i="1"/>
  <c r="D43" i="1"/>
  <c r="F41" i="1"/>
  <c r="D41" i="1"/>
  <c r="C41" i="1"/>
  <c r="D38" i="1"/>
  <c r="C38" i="1"/>
  <c r="D33" i="1"/>
  <c r="C33" i="1"/>
  <c r="D37" i="1"/>
  <c r="D35" i="1"/>
  <c r="D31" i="1"/>
  <c r="D29" i="1"/>
  <c r="C29" i="1"/>
  <c r="D26" i="1"/>
  <c r="D25" i="1"/>
  <c r="D24" i="1"/>
  <c r="D23" i="1"/>
  <c r="D16" i="1"/>
  <c r="C16" i="1"/>
  <c r="D15" i="1"/>
  <c r="C15" i="1"/>
  <c r="D12" i="1"/>
  <c r="C12" i="1"/>
  <c r="D9" i="1"/>
  <c r="D8" i="1"/>
  <c r="C8" i="1"/>
  <c r="D6" i="1"/>
  <c r="D3" i="1"/>
  <c r="D2" i="1"/>
  <c r="C2" i="1"/>
  <c r="D40" i="1"/>
  <c r="C40" i="1"/>
  <c r="D39" i="1"/>
  <c r="C39" i="1"/>
  <c r="F34" i="1"/>
  <c r="D34" i="1"/>
  <c r="C34" i="1"/>
  <c r="F32" i="1"/>
  <c r="D32" i="1"/>
  <c r="F30" i="1"/>
  <c r="D30" i="1"/>
  <c r="C30" i="1"/>
  <c r="D28" i="1"/>
  <c r="D22" i="1"/>
  <c r="C22" i="1"/>
  <c r="D21" i="1"/>
  <c r="C21" i="1"/>
  <c r="D20" i="1"/>
  <c r="D19" i="1"/>
  <c r="F14" i="1"/>
  <c r="C14" i="1"/>
  <c r="D13" i="1"/>
  <c r="D10" i="1"/>
  <c r="C7" i="1"/>
  <c r="D5" i="1"/>
  <c r="C5" i="1"/>
  <c r="H18" i="1" l="1"/>
  <c r="H7" i="1"/>
  <c r="H14" i="1"/>
  <c r="H22" i="1"/>
  <c r="H2" i="1"/>
  <c r="H5" i="1"/>
  <c r="H36" i="1"/>
  <c r="H11" i="1"/>
  <c r="H6" i="1"/>
  <c r="H34" i="1"/>
  <c r="H29" i="1"/>
  <c r="H31" i="1"/>
  <c r="H37" i="1"/>
  <c r="H17" i="1"/>
  <c r="H42" i="1"/>
  <c r="H43" i="1"/>
  <c r="H27" i="1"/>
  <c r="H15" i="1"/>
  <c r="H21" i="1"/>
  <c r="H10" i="1"/>
  <c r="H38" i="1"/>
  <c r="H12" i="1"/>
  <c r="H9" i="1"/>
  <c r="H8" i="1"/>
  <c r="H3" i="1"/>
  <c r="H40" i="1"/>
  <c r="H32" i="1"/>
  <c r="H28" i="1"/>
  <c r="H20" i="1"/>
  <c r="H19" i="1"/>
  <c r="H13" i="1"/>
  <c r="H4" i="1"/>
  <c r="H35" i="1"/>
  <c r="H30" i="1"/>
  <c r="H39" i="1"/>
  <c r="H16" i="1"/>
  <c r="H23" i="1"/>
  <c r="H24" i="1"/>
  <c r="H25" i="1"/>
  <c r="H26" i="1"/>
  <c r="H33" i="1"/>
  <c r="H41" i="1"/>
</calcChain>
</file>

<file path=xl/sharedStrings.xml><?xml version="1.0" encoding="utf-8"?>
<sst xmlns="http://schemas.openxmlformats.org/spreadsheetml/2006/main" count="1100" uniqueCount="109">
  <si>
    <t>Resource Category</t>
  </si>
  <si>
    <t>Elsevier</t>
  </si>
  <si>
    <t>General Content</t>
  </si>
  <si>
    <t>Provider</t>
  </si>
  <si>
    <t>Description of Access or Resource(s)</t>
  </si>
  <si>
    <t>End of Term, TBD</t>
  </si>
  <si>
    <t>Link to Access or Request the Resource</t>
  </si>
  <si>
    <t>Scope Limitations</t>
  </si>
  <si>
    <t>More Detail on Resource(s) or Limitations</t>
  </si>
  <si>
    <t>Expiration</t>
  </si>
  <si>
    <t>GDPR/Personal Data Privacy Policy (see comment attached to cell)</t>
  </si>
  <si>
    <t>None (Requires Signup)</t>
  </si>
  <si>
    <t>Ravenpack</t>
  </si>
  <si>
    <t>RavenPack has made public its COVID-19 news monitoring dashboard.</t>
  </si>
  <si>
    <t>Annual Reviews</t>
  </si>
  <si>
    <t>None (Open Access)</t>
  </si>
  <si>
    <t>None</t>
  </si>
  <si>
    <t>All access controls lifted</t>
  </si>
  <si>
    <t>30 April (to start)</t>
  </si>
  <si>
    <t>To be determined</t>
  </si>
  <si>
    <t>American Association for the Advancement of Science AAAS</t>
  </si>
  <si>
    <t>Current Customers</t>
  </si>
  <si>
    <t>Brill</t>
  </si>
  <si>
    <t>https://www2.brill.com/COVID-19_Collection</t>
  </si>
  <si>
    <t xml:space="preserve">If any new related content is published with Brill, it will be added to this collection. </t>
  </si>
  <si>
    <t>Infobase</t>
  </si>
  <si>
    <t>COVID19 Research</t>
  </si>
  <si>
    <t>Cochrane</t>
  </si>
  <si>
    <t xml:space="preserve">Access to Cochrane Library will be temporarily unrestricted </t>
  </si>
  <si>
    <t>EBSCO</t>
  </si>
  <si>
    <t>Faculty Select: faculty can search12,400+ Open Educational Resources, get links for their Learning Management System (LMS) or distribution to students</t>
  </si>
  <si>
    <t>Limit results to OER only, or include 225,000+ DRM-free EBSCO eBooks available for purchase if not already owned or leased</t>
  </si>
  <si>
    <t>90 days</t>
  </si>
  <si>
    <t>Already granted for all active ScienceDirect customers (also accessible through VitalSouce adn Redshelf)</t>
  </si>
  <si>
    <t>Index of Medieval Art</t>
  </si>
  <si>
    <t xml:space="preserve">This online database includes images and descriptive data to complement the print index at Princeton University. </t>
  </si>
  <si>
    <t>Access to 7 databases: American History; Bloom's Literature; Ferguson's Career Guidance Center; Issues &amp; Controversies; Today's Science; World News Digest; Writer's Reference Center</t>
  </si>
  <si>
    <t>Internet Archive</t>
  </si>
  <si>
    <t>Users can check out up to 10 ebooks at a time.</t>
  </si>
  <si>
    <t>John Libbey Eurotext</t>
  </si>
  <si>
    <t>Courseware</t>
  </si>
  <si>
    <t>American Medical Association</t>
  </si>
  <si>
    <t>American Psychological Association (APA)</t>
  </si>
  <si>
    <t>BioOne</t>
  </si>
  <si>
    <t>Due to regulations governing access to medical content, identification on the site is still necessary, but all of the articles are freely accessible. If you have access issues: contact@jle.com</t>
  </si>
  <si>
    <t>Clarivate Analytics</t>
  </si>
  <si>
    <t>CNKI</t>
  </si>
  <si>
    <t>Digital Science</t>
  </si>
  <si>
    <t>Emerald</t>
  </si>
  <si>
    <t>IEEE</t>
  </si>
  <si>
    <t>Karger</t>
  </si>
  <si>
    <t>Mary Ann Liebert</t>
  </si>
  <si>
    <t>McGraw-Hill Medical</t>
  </si>
  <si>
    <t>NEJM</t>
  </si>
  <si>
    <t>New York Times</t>
  </si>
  <si>
    <t>Ohio State University Press</t>
  </si>
  <si>
    <t>OUP</t>
  </si>
  <si>
    <t>Project MUSE</t>
  </si>
  <si>
    <t xml:space="preserve">Royal Society Publishing </t>
  </si>
  <si>
    <t>SAGE</t>
  </si>
  <si>
    <t>Springer Nature</t>
  </si>
  <si>
    <t>Taylor &amp; Francis</t>
  </si>
  <si>
    <t>University of California Press</t>
  </si>
  <si>
    <t>University of Michigan Press</t>
  </si>
  <si>
    <t>Wiley</t>
  </si>
  <si>
    <t>Wolters Kluwer</t>
  </si>
  <si>
    <t>699 OSU Press Books</t>
  </si>
  <si>
    <t>linguistics textbook language files also available on the Institutional repository in a separate collection [[add link]]</t>
  </si>
  <si>
    <t>[For the duration of the crisis]</t>
  </si>
  <si>
    <t>31 May to 30 June (varies by publisher)</t>
  </si>
  <si>
    <t>All 10 research journals</t>
  </si>
  <si>
    <r>
      <rPr>
        <b/>
        <sz val="10"/>
        <rFont val="Arial"/>
      </rPr>
      <t>Starting March 20</t>
    </r>
    <r>
      <rPr>
        <sz val="10"/>
        <color rgb="FF000000"/>
        <rFont val="Arial"/>
      </rPr>
      <t>, Free to read, not free to download</t>
    </r>
  </si>
  <si>
    <t>JAMA Network COVID-19 multimedia collection w Q&amp;A's with NIAID's Anthony Fauci [...], lots of CME articles, &amp; past pubs on vaccine development, infection control, and public health preparedness</t>
  </si>
  <si>
    <t>To Be Determined</t>
  </si>
  <si>
    <t>Continually updated pandemics resource for both clinicians and the general public</t>
  </si>
  <si>
    <t>https://www.apa.org/practice/programs/dmhi/research-information/pandemics</t>
  </si>
  <si>
    <t>See also their curated collection of 20+ covid19 related articles https://www.apa.org/pubs/highlights/covid-19-articles</t>
  </si>
  <si>
    <t>Coronavirus related articles in 3 journals</t>
  </si>
  <si>
    <t>Site also includes access to a few recent research articles and access to BioWorld coronavirus news articles</t>
  </si>
  <si>
    <t>1640+ articles regarding COVID-19, cost for OA publication and related services will be completely covered by CNKI</t>
  </si>
  <si>
    <t xml:space="preserve">divides the research results of COVID-19 into 6 stages: Pathogeny, Prevention, Diagnosis, Treatment, Prognosis and Nursing. Chinese- http://cajn.cnki.net/gzbd/brief/Default.aspx | </t>
  </si>
  <si>
    <t>Special collections on evidence relevant to critical care; infection control and prevention measures; and remote consultation and home-based care</t>
  </si>
  <si>
    <t>https://www.cochranelibrary.com/covid-19</t>
  </si>
  <si>
    <t xml:space="preserve">Dedicated Dimensions search link: https://covid-19.dimensions.ai/  (Does not include Clinical trial info, for these use download); designed to free people from constraints of specific applications and platforms                                                                                     </t>
  </si>
  <si>
    <t>Site also includes Book Chapters, Preprints, and Drug Discovery Resources</t>
  </si>
  <si>
    <t xml:space="preserve">Collection of 45+ Coronavirus / COVID-19 articles, 40+ of which have been made open in response to the pandemic </t>
  </si>
  <si>
    <t>Collection of Liebert COVID-19 research content: 22+ articles from 9+ journals</t>
  </si>
  <si>
    <t>24+ entries on AccessMedicine COVID-19 Central to help teaching and learning online and to share the latest information on the COVID-19 global pandemic</t>
  </si>
  <si>
    <t xml:space="preserve">Coronavirus (Covid-19) related articles (35+) </t>
  </si>
  <si>
    <t>Covid-19 Case Reports are available in NEJM Resident 360, which is freely available to users at insttitutions with site licenses; professional translations of COVID19 articles into chinese and Deposit in CNKI</t>
  </si>
  <si>
    <t>New York Times' most up-to-date information and guidance on the coronavirus</t>
  </si>
  <si>
    <t>https://www.nytimes.com/news-event/coronavirus</t>
  </si>
  <si>
    <t>150+ articles spanning science, technology, and medicine and in the social and behavioral sciences</t>
  </si>
  <si>
    <t>Fast tracking new research submitted to our journals related to the current situation and publishing it open access while waiving APCs</t>
  </si>
  <si>
    <t>Latest coronavirus research &amp; news items</t>
  </si>
  <si>
    <t>Includes dozens of recent research articles, Reviews and Comments, Blogs and 6 recent books</t>
  </si>
  <si>
    <t xml:space="preserve">Curated information and resources that they have opened access to for the medical community, 3 links for Wolters Kluwer, Ovid, and UptoDate </t>
  </si>
  <si>
    <t xml:space="preserve">Also via these pages: Ovid for Clinicians: http://tools.ovid.com/coronavirus/? UptoDate COVID 2019 entry: https://www.uptodate.com/contents/coronavirus-disease-2019-covid-19#H4014462337 </t>
  </si>
  <si>
    <t>End of Semester</t>
  </si>
  <si>
    <t>access to IEEE suite of 400 + eLearning courses for students and faculty members teaching engineering and computer science</t>
  </si>
  <si>
    <t>Full list of courses available to IEEE Xplore current customers</t>
  </si>
  <si>
    <t>60 Day access</t>
  </si>
  <si>
    <t>Extending free access to eBooks/ eTextbooks and courseware access for instructors</t>
  </si>
  <si>
    <t>UK:https://sagepub.com/resources-to-help-you-teach-online-UK | Others:https://sagepub.com/resources-to-help-you-teach-online</t>
  </si>
  <si>
    <t>Requests for access to xybooks can be made at https://www.zybooks.com/</t>
  </si>
  <si>
    <t>https://ieeexplore.ieee.org/search/searchresult.jsp?newsearch=true&amp;queryText=%22Free%20Promotions%22:COVID-19</t>
  </si>
  <si>
    <t>access to IEEE articles research</t>
  </si>
  <si>
    <t>https://ieeexplore.ieee.org/courses/home</t>
  </si>
  <si>
    <t>* Informação complilada pelo ICOLC (International Coalition of Library Consortia)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</si>
</sst>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5" formatCode="ddd&quot; &quot;d&quot; &quot;mmm&quot; &quot;yyyy"/>
    <numFmt numFmtId="166" formatCode="d\ mmmm"/>
    <numFmt numFmtId="167" formatCode="mmm\ d\ yyyy"/>
    <numFmt numFmtId="168" formatCode="ddd\ d\ mmm\ yyyy"/>
    <numFmt numFmtId="169" formatCode="ddd\ mmm\ d\ yyyy"/>
    <numFmt numFmtId="170" formatCode="d\ mmm"/>
    <numFmt numFmtId="171" formatCode="d\ mmmm\ yyyy"/>
  </numFmts>
  <fonts count="50" x14ac:knownFonts="1">
    <font>
      <sz val="10"/>
      <color rgb="FF000000"/>
      <name val="Arial"/>
    </font>
    <font>
      <sz val="10"/>
      <color theme="1"/>
      <name val="Arial"/>
    </font>
    <font>
      <u/>
      <sz val="10"/>
      <color rgb="FF0000FF"/>
      <name val="Arial"/>
    </font>
    <font>
      <b/>
      <sz val="12"/>
      <color theme="1"/>
      <name val="Arial"/>
    </font>
    <font>
      <b/>
      <sz val="10"/>
      <color theme="1"/>
      <name val="Arial"/>
    </font>
    <font>
      <b/>
      <u/>
      <sz val="10"/>
      <color rgb="FF0000FF"/>
      <name val="Arial"/>
    </font>
    <font>
      <u/>
      <sz val="10"/>
      <color rgb="FF0000FF"/>
      <name val="Arial"/>
    </font>
    <font>
      <sz val="10"/>
      <name val="Arial"/>
    </font>
    <font>
      <b/>
      <sz val="10"/>
      <color theme="1"/>
      <name val="Arial"/>
    </font>
    <font>
      <sz val="10"/>
      <color theme="1"/>
      <name val="Arial"/>
    </font>
    <font>
      <u/>
      <sz val="10"/>
      <color rgb="FF0000FF"/>
      <name val="Arial"/>
    </font>
    <font>
      <u/>
      <sz val="10"/>
      <color rgb="FF000000"/>
      <name val="Arial"/>
    </font>
    <font>
      <sz val="10"/>
      <color rgb="FF000000"/>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00"/>
      <name val="Arial"/>
    </font>
    <font>
      <u/>
      <sz val="10"/>
      <color rgb="FF0000FF"/>
      <name val="Arial"/>
    </font>
    <font>
      <u/>
      <sz val="10"/>
      <color theme="4"/>
      <name val="Arial"/>
    </font>
    <font>
      <u/>
      <sz val="10"/>
      <color rgb="FF0000FF"/>
      <name val="Arial"/>
    </font>
    <font>
      <u/>
      <sz val="10"/>
      <color rgb="FF0000FF"/>
      <name val="Arial"/>
    </font>
    <font>
      <u/>
      <sz val="10"/>
      <color rgb="FF0000FF"/>
      <name val="Arial"/>
    </font>
    <font>
      <b/>
      <sz val="10"/>
      <name val="Arial"/>
    </font>
    <font>
      <u/>
      <sz val="10"/>
      <color rgb="FF0000FF"/>
      <name val="Arial"/>
    </font>
    <font>
      <u/>
      <sz val="10"/>
      <color rgb="FF000000"/>
      <name val="Arial"/>
    </font>
    <font>
      <u/>
      <sz val="10"/>
      <color rgb="FF1155CC"/>
      <name val="Arial"/>
    </font>
    <font>
      <u/>
      <sz val="10"/>
      <color rgb="FF0000FF"/>
      <name val="Arial"/>
    </font>
    <font>
      <u/>
      <sz val="10"/>
      <color rgb="FF0000FF"/>
      <name val="Arial"/>
    </font>
    <font>
      <u/>
      <sz val="10"/>
      <color rgb="FF0000FF"/>
      <name val="Arial"/>
    </font>
    <font>
      <u/>
      <sz val="11"/>
      <color rgb="FF1155CC"/>
      <name val="Arial"/>
    </font>
    <font>
      <u/>
      <sz val="10"/>
      <color rgb="FF0000FF"/>
      <name val="Arial"/>
    </font>
    <font>
      <u/>
      <sz val="10"/>
      <color rgb="FF0000FF"/>
      <name val="Arial"/>
    </font>
    <font>
      <u/>
      <sz val="10"/>
      <color rgb="FF0000FF"/>
      <name val="Arial"/>
    </font>
    <font>
      <u/>
      <sz val="10"/>
      <color rgb="FF000000"/>
      <name val="Arial"/>
    </font>
    <font>
      <u/>
      <sz val="10"/>
      <color rgb="FF000000"/>
      <name val="Arial"/>
    </font>
    <font>
      <u/>
      <sz val="10"/>
      <color rgb="FF1155CC"/>
      <name val="Arial"/>
    </font>
    <font>
      <u/>
      <sz val="10"/>
      <color rgb="FF0000FF"/>
      <name val="Arial"/>
    </font>
    <font>
      <u/>
      <sz val="10"/>
      <color rgb="FF000000"/>
      <name val="Arial"/>
    </font>
    <font>
      <u/>
      <sz val="10"/>
      <color theme="10"/>
      <name val="Arial"/>
    </font>
    <font>
      <sz val="10"/>
      <color theme="1"/>
      <name val="Arial"/>
      <family val="2"/>
    </font>
    <font>
      <b/>
      <sz val="12"/>
      <color theme="0"/>
      <name val="Arial"/>
      <family val="2"/>
    </font>
    <font>
      <b/>
      <sz val="11"/>
      <color theme="0"/>
      <name val="Arial"/>
      <family val="2"/>
    </font>
    <font>
      <b/>
      <sz val="10"/>
      <name val="Arial"/>
      <family val="2"/>
    </font>
    <font>
      <b/>
      <sz val="10"/>
      <color theme="1"/>
      <name val="Arial"/>
      <family val="2"/>
    </font>
  </fonts>
  <fills count="8">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theme="0"/>
        <bgColor rgb="FFFFF2CC"/>
      </patternFill>
    </fill>
    <fill>
      <patternFill patternType="solid">
        <fgColor theme="0"/>
        <bgColor indexed="64"/>
      </patternFill>
    </fill>
    <fill>
      <patternFill patternType="solid">
        <fgColor rgb="FFD60093"/>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44" fillId="0" borderId="0" applyNumberFormat="0" applyFill="0" applyBorder="0" applyAlignment="0" applyProtection="0"/>
  </cellStyleXfs>
  <cellXfs count="89">
    <xf numFmtId="0" fontId="0" fillId="0" borderId="0" xfId="0" applyFont="1" applyAlignme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5" fillId="0" borderId="0" xfId="0" applyFont="1" applyAlignment="1"/>
    <xf numFmtId="165" fontId="1" fillId="0" borderId="0" xfId="0" applyNumberFormat="1" applyFont="1" applyAlignment="1">
      <alignment vertical="center"/>
    </xf>
    <xf numFmtId="0" fontId="6"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wrapText="1"/>
    </xf>
    <xf numFmtId="165" fontId="1" fillId="0" borderId="0" xfId="0" applyNumberFormat="1" applyFont="1"/>
    <xf numFmtId="0" fontId="17" fillId="0" borderId="0" xfId="0" applyFont="1"/>
    <xf numFmtId="0" fontId="1" fillId="0" borderId="0" xfId="0" applyFont="1" applyAlignment="1">
      <alignment horizontal="center" wrapText="1"/>
    </xf>
    <xf numFmtId="0" fontId="1" fillId="0" borderId="0" xfId="0" applyFont="1"/>
    <xf numFmtId="0" fontId="18" fillId="0" borderId="0" xfId="0" applyFont="1" applyAlignment="1">
      <alignment horizontal="center" wrapText="1"/>
    </xf>
    <xf numFmtId="0" fontId="1" fillId="0" borderId="0" xfId="0" applyFont="1" applyAlignment="1">
      <alignment vertical="center"/>
    </xf>
    <xf numFmtId="165" fontId="1" fillId="0" borderId="0" xfId="0" applyNumberFormat="1" applyFont="1"/>
    <xf numFmtId="168" fontId="1" fillId="0" borderId="0" xfId="0" applyNumberFormat="1" applyFont="1"/>
    <xf numFmtId="168" fontId="1" fillId="0" borderId="0" xfId="0" applyNumberFormat="1" applyFont="1" applyAlignment="1">
      <alignment vertical="center"/>
    </xf>
    <xf numFmtId="0" fontId="1" fillId="0" borderId="0" xfId="0" applyFont="1" applyAlignment="1">
      <alignment vertical="center"/>
    </xf>
    <xf numFmtId="0" fontId="26" fillId="0" borderId="0" xfId="0" applyFont="1" applyAlignment="1">
      <alignment wrapText="1"/>
    </xf>
    <xf numFmtId="169" fontId="1" fillId="0" borderId="0" xfId="0" applyNumberFormat="1" applyFont="1"/>
    <xf numFmtId="167" fontId="1" fillId="0" borderId="0" xfId="0" applyNumberFormat="1" applyFont="1"/>
    <xf numFmtId="171" fontId="1" fillId="0" borderId="0" xfId="0" applyNumberFormat="1" applyFont="1"/>
    <xf numFmtId="0" fontId="1" fillId="0" borderId="0" xfId="0" applyFont="1" applyAlignment="1">
      <alignment horizontal="center" vertical="center"/>
    </xf>
    <xf numFmtId="0" fontId="1" fillId="0" borderId="0" xfId="0" applyFont="1" applyAlignment="1">
      <alignment horizontal="center" wrapText="1"/>
    </xf>
    <xf numFmtId="0" fontId="3" fillId="2" borderId="0" xfId="0" applyFont="1" applyFill="1" applyBorder="1" applyAlignment="1">
      <alignment horizontal="center" vertical="center"/>
    </xf>
    <xf numFmtId="0" fontId="0" fillId="0" borderId="0" xfId="0" applyFont="1" applyBorder="1" applyAlignment="1"/>
    <xf numFmtId="0" fontId="9" fillId="0" borderId="0"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lignment horizontal="left" vertical="center" wrapText="1"/>
    </xf>
    <xf numFmtId="0" fontId="11" fillId="0" borderId="0" xfId="0" applyFont="1" applyBorder="1" applyAlignment="1">
      <alignment horizontal="center" vertical="center" wrapText="1"/>
    </xf>
    <xf numFmtId="0" fontId="1" fillId="0" borderId="0" xfId="0" applyFont="1" applyBorder="1" applyAlignment="1">
      <alignment vertical="center"/>
    </xf>
    <xf numFmtId="0" fontId="4" fillId="0" borderId="0" xfId="0" applyFont="1" applyBorder="1" applyAlignment="1">
      <alignment vertical="center" wrapText="1"/>
    </xf>
    <xf numFmtId="0" fontId="14" fillId="0" borderId="0" xfId="0" applyFont="1" applyBorder="1" applyAlignment="1">
      <alignment vertical="center" wrapText="1"/>
    </xf>
    <xf numFmtId="0" fontId="15" fillId="0" borderId="0" xfId="0" applyFont="1" applyBorder="1" applyAlignment="1">
      <alignment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12" fillId="0" borderId="0" xfId="0" applyFont="1" applyBorder="1" applyAlignment="1">
      <alignment horizontal="center" vertical="center" wrapText="1"/>
    </xf>
    <xf numFmtId="0" fontId="16" fillId="0" borderId="0" xfId="0" applyFont="1" applyBorder="1" applyAlignment="1">
      <alignment vertical="center" wrapText="1"/>
    </xf>
    <xf numFmtId="0" fontId="9" fillId="0" borderId="0" xfId="0" applyFont="1" applyBorder="1" applyAlignment="1">
      <alignment vertical="center"/>
    </xf>
    <xf numFmtId="166" fontId="9" fillId="0" borderId="0" xfId="0" applyNumberFormat="1" applyFont="1" applyBorder="1" applyAlignment="1">
      <alignment horizontal="left" vertical="center" wrapText="1"/>
    </xf>
    <xf numFmtId="0" fontId="13"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Border="1" applyAlignment="1">
      <alignment vertical="center" wrapText="1"/>
    </xf>
    <xf numFmtId="0" fontId="22" fillId="0" borderId="0" xfId="0" applyFont="1" applyBorder="1" applyAlignment="1">
      <alignment horizontal="center" vertical="center" wrapText="1"/>
    </xf>
    <xf numFmtId="166" fontId="1" fillId="0" borderId="0" xfId="0" applyNumberFormat="1"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vertical="center"/>
    </xf>
    <xf numFmtId="0" fontId="27"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29" fillId="0" borderId="0"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left" vertical="center" wrapText="1"/>
    </xf>
    <xf numFmtId="0" fontId="32" fillId="0" borderId="0" xfId="0" applyFont="1" applyBorder="1" applyAlignment="1">
      <alignment vertical="center" wrapText="1"/>
    </xf>
    <xf numFmtId="170" fontId="9" fillId="0" borderId="0" xfId="0" applyNumberFormat="1" applyFont="1" applyBorder="1" applyAlignment="1">
      <alignment horizontal="left" vertical="center" wrapText="1"/>
    </xf>
    <xf numFmtId="0" fontId="33" fillId="0" borderId="0" xfId="0" applyFont="1" applyBorder="1" applyAlignment="1">
      <alignment vertical="center" wrapText="1"/>
    </xf>
    <xf numFmtId="0" fontId="0" fillId="3" borderId="0" xfId="0" applyFont="1" applyFill="1" applyBorder="1" applyAlignment="1">
      <alignment vertical="center" wrapText="1"/>
    </xf>
    <xf numFmtId="0" fontId="34" fillId="0" borderId="0" xfId="0" applyFont="1" applyBorder="1" applyAlignment="1">
      <alignment vertical="center" wrapText="1"/>
    </xf>
    <xf numFmtId="0" fontId="1" fillId="0" borderId="0" xfId="0" applyFont="1" applyBorder="1" applyAlignment="1">
      <alignment wrapText="1"/>
    </xf>
    <xf numFmtId="0" fontId="19" fillId="0" borderId="0" xfId="0" applyFont="1" applyBorder="1" applyAlignment="1">
      <alignment vertical="center" wrapText="1"/>
    </xf>
    <xf numFmtId="0" fontId="35" fillId="0" borderId="0" xfId="0" applyFont="1" applyBorder="1" applyAlignment="1">
      <alignment wrapText="1"/>
    </xf>
    <xf numFmtId="0" fontId="36" fillId="0" borderId="0" xfId="0" applyFont="1" applyBorder="1" applyAlignment="1">
      <alignment vertical="center" wrapText="1"/>
    </xf>
    <xf numFmtId="0" fontId="37" fillId="0" borderId="0" xfId="0" applyFont="1" applyBorder="1" applyAlignment="1">
      <alignment vertical="center" wrapText="1"/>
    </xf>
    <xf numFmtId="0" fontId="38" fillId="0" borderId="0" xfId="0" applyFont="1" applyBorder="1" applyAlignment="1">
      <alignment vertical="center" wrapText="1"/>
    </xf>
    <xf numFmtId="0" fontId="39"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41" fillId="3" borderId="0" xfId="0" applyFont="1" applyFill="1" applyBorder="1" applyAlignment="1">
      <alignment horizontal="left" vertical="center"/>
    </xf>
    <xf numFmtId="0" fontId="8" fillId="0" borderId="0" xfId="0" applyFont="1" applyBorder="1" applyAlignment="1">
      <alignment vertical="center" wrapText="1"/>
    </xf>
    <xf numFmtId="0" fontId="42" fillId="0" borderId="0" xfId="0" applyFont="1" applyBorder="1" applyAlignment="1">
      <alignment vertical="center"/>
    </xf>
    <xf numFmtId="0" fontId="43" fillId="0" borderId="0" xfId="0" applyFont="1" applyBorder="1" applyAlignment="1">
      <alignment horizontal="center" vertical="center" wrapText="1"/>
    </xf>
    <xf numFmtId="0" fontId="1" fillId="0" borderId="0" xfId="0" applyFont="1" applyBorder="1" applyAlignment="1">
      <alignment horizontal="left" wrapText="1"/>
    </xf>
    <xf numFmtId="0" fontId="1" fillId="0" borderId="0" xfId="0" applyFont="1" applyBorder="1" applyAlignment="1">
      <alignment horizontal="center"/>
    </xf>
    <xf numFmtId="0" fontId="3" fillId="4" borderId="0" xfId="0" applyFont="1" applyFill="1" applyBorder="1" applyAlignment="1">
      <alignment horizontal="center" vertical="center"/>
    </xf>
    <xf numFmtId="0" fontId="1" fillId="5" borderId="0" xfId="0" applyFont="1" applyFill="1" applyBorder="1" applyAlignment="1">
      <alignment vertical="center"/>
    </xf>
    <xf numFmtId="0" fontId="9" fillId="5" borderId="0" xfId="0" applyFont="1" applyFill="1" applyBorder="1" applyAlignment="1">
      <alignment vertical="center"/>
    </xf>
    <xf numFmtId="0" fontId="0" fillId="5" borderId="0" xfId="0" applyFont="1" applyFill="1" applyBorder="1" applyAlignment="1"/>
    <xf numFmtId="0" fontId="46"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0" fontId="44" fillId="0" borderId="0" xfId="1" applyAlignment="1"/>
    <xf numFmtId="0" fontId="45" fillId="0" borderId="0" xfId="0" applyFont="1" applyBorder="1" applyAlignment="1">
      <alignment vertical="center" wrapText="1"/>
    </xf>
    <xf numFmtId="0" fontId="49" fillId="0" borderId="0" xfId="0" applyFont="1" applyBorder="1" applyAlignment="1">
      <alignment vertical="center" wrapText="1"/>
    </xf>
    <xf numFmtId="0" fontId="48" fillId="0" borderId="0" xfId="0" applyFont="1" applyBorder="1" applyAlignment="1">
      <alignment vertical="center" wrapText="1"/>
    </xf>
    <xf numFmtId="0" fontId="49" fillId="3" borderId="0" xfId="0" applyFont="1" applyFill="1" applyBorder="1" applyAlignment="1">
      <alignment vertical="center" wrapText="1"/>
    </xf>
    <xf numFmtId="0" fontId="49" fillId="0" borderId="0" xfId="0" applyFont="1" applyBorder="1" applyAlignment="1">
      <alignment vertical="center"/>
    </xf>
    <xf numFmtId="0" fontId="45" fillId="7" borderId="0" xfId="0" applyFont="1" applyFill="1" applyBorder="1" applyAlignment="1">
      <alignment wrapText="1"/>
    </xf>
  </cellXfs>
  <cellStyles count="2">
    <cellStyle name="Hyperlink" xfId="1" builtinId="8"/>
    <cellStyle name="Normal"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9EAD3"/>
          <bgColor rgb="FFD9EAD3"/>
        </patternFill>
      </fill>
    </dxf>
    <dxf>
      <fill>
        <patternFill patternType="solid">
          <fgColor rgb="FFFFFFFF"/>
          <bgColor rgb="FFFFFFFF"/>
        </patternFill>
      </fill>
    </dxf>
    <dxf>
      <fill>
        <patternFill patternType="solid">
          <fgColor rgb="FF8BC34A"/>
          <bgColor rgb="FF8BC34A"/>
        </patternFill>
      </fill>
    </dxf>
    <dxf>
      <fill>
        <patternFill patternType="solid">
          <fgColor rgb="FFEFEFEF"/>
          <bgColor rgb="FFEFEFEF"/>
        </patternFill>
      </fill>
    </dxf>
    <dxf>
      <fill>
        <patternFill patternType="solid">
          <fgColor rgb="FFFFFFFF"/>
          <bgColor rgb="FFFFFFFF"/>
        </patternFill>
      </fill>
    </dxf>
    <dxf>
      <fill>
        <patternFill patternType="solid">
          <fgColor rgb="FFBDBDBD"/>
          <bgColor rgb="FFBDBDBD"/>
        </patternFill>
      </fill>
    </dxf>
  </dxfs>
  <tableStyles count="2">
    <tableStyle name="ICOLC Public View Feed-style" pivot="0" count="3" xr9:uid="{00000000-0011-0000-FFFF-FFFF00000000}">
      <tableStyleElement type="headerRow" dxfId="19"/>
      <tableStyleElement type="firstRowStripe" dxfId="18"/>
      <tableStyleElement type="secondRowStripe" dxfId="17"/>
    </tableStyle>
    <tableStyle name="Providers-style" pivot="0" count="3" xr9:uid="{00000000-0011-0000-FFFF-FFFF01000000}">
      <tableStyleElement type="headerRow" dxfId="16"/>
      <tableStyleElement type="firstRowStripe" dxfId="15"/>
      <tableStyleElement type="secondRowStripe" dxfId="14"/>
    </tableStyle>
  </tableStyles>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2" displayName="Table_2" ref="A2:Z44" headerRowCount="0" headerRowDxfId="13" totalsRowDxfId="12">
  <sortState xmlns:xlrd2="http://schemas.microsoft.com/office/spreadsheetml/2017/richdata2" ref="A2:Z43">
    <sortCondition ref="A2:A43"/>
  </sortState>
  <tableColumns count="2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13" xr3:uid="{00000000-0010-0000-0000-00000D000000}" name="Column13" dataDxfId="11"/>
    <tableColumn id="14" xr3:uid="{00000000-0010-0000-0000-00000E000000}" name="Column14" dataDxfId="10"/>
    <tableColumn id="15" xr3:uid="{00000000-0010-0000-0000-00000F000000}" name="Column15" dataDxfId="9"/>
    <tableColumn id="16" xr3:uid="{00000000-0010-0000-0000-000010000000}" name="Column16" dataDxfId="8"/>
    <tableColumn id="17" xr3:uid="{00000000-0010-0000-0000-000011000000}" name="Column17" dataDxfId="7"/>
    <tableColumn id="18" xr3:uid="{00000000-0010-0000-0000-000012000000}" name="Column18" dataDxfId="6"/>
    <tableColumn id="19" xr3:uid="{00000000-0010-0000-0000-000013000000}" name="Column19" dataDxfId="5"/>
    <tableColumn id="20" xr3:uid="{00000000-0010-0000-0000-000014000000}" name="Column20" dataDxfId="4"/>
    <tableColumn id="21" xr3:uid="{00000000-0010-0000-0000-000015000000}" name="Column21" dataDxfId="3"/>
    <tableColumn id="22" xr3:uid="{00000000-0010-0000-0000-000016000000}" name="Column22" dataDxfId="2"/>
    <tableColumn id="23" xr3:uid="{00000000-0010-0000-0000-000017000000}" name="Column23" dataDxfId="1"/>
    <tableColumn id="24" xr3:uid="{00000000-0010-0000-0000-000018000000}" name="Column24" dataDxfId="0"/>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s>
  <tableStyleInfo name="Providers-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_1" displayName="Table_1" ref="A1:F104" headerRowCount="0">
  <tableColumns count="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s>
  <tableStyleInfo name="ICOLC Public View Feed-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chranelibrary.com/covid-19" TargetMode="External"/><Relationship Id="rId7" Type="http://schemas.openxmlformats.org/officeDocument/2006/relationships/table" Target="../tables/table1.xml"/><Relationship Id="rId2" Type="http://schemas.openxmlformats.org/officeDocument/2006/relationships/hyperlink" Target="https://www.apa.org/practice/programs/dmhi/research-information/pandemics" TargetMode="External"/><Relationship Id="rId1" Type="http://schemas.openxmlformats.org/officeDocument/2006/relationships/hyperlink" Target="https://www2.brill.com/COVID-19_Collection" TargetMode="External"/><Relationship Id="rId6" Type="http://schemas.openxmlformats.org/officeDocument/2006/relationships/hyperlink" Target="https://ieeexplore.ieee.org/courses/home" TargetMode="External"/><Relationship Id="rId5" Type="http://schemas.openxmlformats.org/officeDocument/2006/relationships/hyperlink" Target="https://ieeexplore.ieee.org/search/searchresult.jsp?newsearch=true&amp;queryText=%22Free%20Promotions%22:COVID-19" TargetMode="External"/><Relationship Id="rId4" Type="http://schemas.openxmlformats.org/officeDocument/2006/relationships/hyperlink" Target="https://www.nytimes.com/news-event/coronaviru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ocs.google.com/spreadsheets/d/1xiINlF9P00tO-5lGKi3v4S413iujYCm5QJoKUG19a_Y/edit?disco=AAAAJOCzR1o" TargetMode="External"/><Relationship Id="rId21" Type="http://schemas.openxmlformats.org/officeDocument/2006/relationships/hyperlink" Target="https://docs.google.com/spreadsheets/d/1xiINlF9P00tO-5lGKi3v4S413iujYCm5QJoKUG19a_Y/edit?disco=AAAAJOCzR18" TargetMode="External"/><Relationship Id="rId42" Type="http://schemas.openxmlformats.org/officeDocument/2006/relationships/hyperlink" Target="https://jamanetwork.com/pages/privacy-policy" TargetMode="External"/><Relationship Id="rId47" Type="http://schemas.openxmlformats.org/officeDocument/2006/relationships/hyperlink" Target="https://docs.google.com/spreadsheets/d/1xiINlF9P00tO-5lGKi3v4S413iujYCm5QJoKUG19a_Y/edit?disco=AAAAJOCzR2k" TargetMode="External"/><Relationship Id="rId63" Type="http://schemas.openxmlformats.org/officeDocument/2006/relationships/hyperlink" Target="https://www.jle.com/en/infos_legales" TargetMode="External"/><Relationship Id="rId68" Type="http://schemas.openxmlformats.org/officeDocument/2006/relationships/hyperlink" Target="https://docs.google.com/spreadsheets/d/1xiINlF9P00tO-5lGKi3v4S413iujYCm5QJoKUG19a_Y/edit?disco=AAAAJOWMoD0" TargetMode="External"/><Relationship Id="rId84" Type="http://schemas.openxmlformats.org/officeDocument/2006/relationships/hyperlink" Target="https://docs.google.com/spreadsheets/d/1xiINlF9P00tO-5lGKi3v4S413iujYCm5QJoKUG19a_Y/edit?disco=AAAAJPpqkPM" TargetMode="External"/><Relationship Id="rId89" Type="http://schemas.openxmlformats.org/officeDocument/2006/relationships/hyperlink" Target="https://docs.google.com/spreadsheets/d/1xiINlF9P00tO-5lGKi3v4S413iujYCm5QJoKUG19a_Y/edit?disco=AAAAJPpqksk" TargetMode="External"/><Relationship Id="rId16" Type="http://schemas.openxmlformats.org/officeDocument/2006/relationships/hyperlink" Target="https://www.proquest.com/about/privacy-statement.html" TargetMode="External"/><Relationship Id="rId11" Type="http://schemas.openxmlformats.org/officeDocument/2006/relationships/hyperlink" Target="https://docs.google.com/spreadsheets/d/1xiINlF9P00tO-5lGKi3v4S413iujYCm5QJoKUG19a_Y/edit?disco=AAAAJOCzR1g" TargetMode="External"/><Relationship Id="rId32" Type="http://schemas.openxmlformats.org/officeDocument/2006/relationships/hyperlink" Target="https://docs.google.com/spreadsheets/d/1xiINlF9P00tO-5lGKi3v4S413iujYCm5QJoKUG19a_Y/edit?disco=AAAAJOCzR1I" TargetMode="External"/><Relationship Id="rId37" Type="http://schemas.openxmlformats.org/officeDocument/2006/relationships/hyperlink" Target="https://docs.google.com/spreadsheets/d/1xiINlF9P00tO-5lGKi3v4S413iujYCm5QJoKUG19a_Y/edit?disco=AAAAJOCzR04" TargetMode="External"/><Relationship Id="rId53" Type="http://schemas.openxmlformats.org/officeDocument/2006/relationships/hyperlink" Target="https://docs.google.com/spreadsheets/d/1xiINlF9P00tO-5lGKi3v4S413iujYCm5QJoKUG19a_Y/edit?disco=AAAAJOWMoAI" TargetMode="External"/><Relationship Id="rId58" Type="http://schemas.openxmlformats.org/officeDocument/2006/relationships/hyperlink" Target="https://www.bloomsbury.com/us/privacy-policy/" TargetMode="External"/><Relationship Id="rId74" Type="http://schemas.openxmlformats.org/officeDocument/2006/relationships/hyperlink" Target="https://www.rsc.org/news-events/articles/2018/jan/gdpr-information/" TargetMode="External"/><Relationship Id="rId79" Type="http://schemas.openxmlformats.org/officeDocument/2006/relationships/hyperlink" Target="https://docs.google.com/spreadsheets/d/1xiINlF9P00tO-5lGKi3v4S413iujYCm5QJoKUG19a_Y/edit?disco=AAAAJPpqheU" TargetMode="External"/><Relationship Id="rId5" Type="http://schemas.openxmlformats.org/officeDocument/2006/relationships/hyperlink" Target="https://docs.google.com/spreadsheets/d/1xiINlF9P00tO-5lGKi3v4S413iujYCm5QJoKUG19a_Y/edit?disco=AAAAJOCzR0w" TargetMode="External"/><Relationship Id="rId90" Type="http://schemas.openxmlformats.org/officeDocument/2006/relationships/hyperlink" Target="https://docs.google.com/spreadsheets/d/1xiINlF9P00tO-5lGKi3v4S413iujYCm5QJoKUG19a_Y/edit?disco=AAAAJPpqkwI" TargetMode="External"/><Relationship Id="rId95" Type="http://schemas.openxmlformats.org/officeDocument/2006/relationships/hyperlink" Target="https://docs.google.com/spreadsheets/d/1xiINlF9P00tO-5lGKi3v4S413iujYCm5QJoKUG19a_Y/edit?disco=AAAAJPvwflA" TargetMode="External"/><Relationship Id="rId22" Type="http://schemas.openxmlformats.org/officeDocument/2006/relationships/hyperlink" Target="https://www.macmillanihe.com/page/privacy-policy/" TargetMode="External"/><Relationship Id="rId27" Type="http://schemas.openxmlformats.org/officeDocument/2006/relationships/hyperlink" Target="https://www.springernature.com/la/legal/privacy-statement/11033522" TargetMode="External"/><Relationship Id="rId43" Type="http://schemas.openxmlformats.org/officeDocument/2006/relationships/hyperlink" Target="https://docs.google.com/spreadsheets/d/1xiINlF9P00tO-5lGKi3v4S413iujYCm5QJoKUG19a_Y/edit?disco=AAAAJOCzR2c" TargetMode="External"/><Relationship Id="rId48" Type="http://schemas.openxmlformats.org/officeDocument/2006/relationships/hyperlink" Target="https://www.emeraldgrouppublishing.com/about/policies/privacy.htm" TargetMode="External"/><Relationship Id="rId64" Type="http://schemas.openxmlformats.org/officeDocument/2006/relationships/hyperlink" Target="https://docs.google.com/spreadsheets/d/1xiINlF9P00tO-5lGKi3v4S413iujYCm5QJoKUG19a_Y/edit?disco=AAAAJOWMpOs" TargetMode="External"/><Relationship Id="rId69" Type="http://schemas.openxmlformats.org/officeDocument/2006/relationships/hyperlink" Target="https://www.nejmgroup.org/legal/privacy-policy.htm?query=footer" TargetMode="External"/><Relationship Id="rId80" Type="http://schemas.openxmlformats.org/officeDocument/2006/relationships/hyperlink" Target="https://docs.google.com/spreadsheets/d/1xiINlF9P00tO-5lGKi3v4S413iujYCm5QJoKUG19a_Y/edit?disco=AAAAGV1qUWI" TargetMode="External"/><Relationship Id="rId85" Type="http://schemas.openxmlformats.org/officeDocument/2006/relationships/hyperlink" Target="https://docs.google.com/spreadsheets/d/1xiINlF9P00tO-5lGKi3v4S413iujYCm5QJoKUG19a_Y/edit?disco=AAAAJPvwfg8" TargetMode="External"/><Relationship Id="rId3" Type="http://schemas.openxmlformats.org/officeDocument/2006/relationships/hyperlink" Target="https://docs.google.com/spreadsheets/d/1xiINlF9P00tO-5lGKi3v4S413iujYCm5QJoKUG19a_Y/edit?disco=AAAAJOCzR0g" TargetMode="External"/><Relationship Id="rId12" Type="http://schemas.openxmlformats.org/officeDocument/2006/relationships/hyperlink" Target="https://clarivate.com/legal/privacy-policy/" TargetMode="External"/><Relationship Id="rId17" Type="http://schemas.openxmlformats.org/officeDocument/2006/relationships/hyperlink" Target="https://docs.google.com/spreadsheets/d/1xiINlF9P00tO-5lGKi3v4S413iujYCm5QJoKUG19a_Y/edit?disco=AAAAJOCzR2M" TargetMode="External"/><Relationship Id="rId25" Type="http://schemas.openxmlformats.org/officeDocument/2006/relationships/hyperlink" Target="https://docs.google.com/spreadsheets/d/1xiINlF9P00tO-5lGKi3v4S413iujYCm5QJoKUG19a_Y/edit?disco=AAAAJOCzR0s" TargetMode="External"/><Relationship Id="rId33" Type="http://schemas.openxmlformats.org/officeDocument/2006/relationships/hyperlink" Target="https://docs.google.com/spreadsheets/d/1xiINlF9P00tO-5lGKi3v4S413iujYCm5QJoKUG19a_Y/edit?disco=AAAAJOCzR0k" TargetMode="External"/><Relationship Id="rId38" Type="http://schemas.openxmlformats.org/officeDocument/2006/relationships/hyperlink" Target="https://docs.google.com/spreadsheets/d/1xiINlF9P00tO-5lGKi3v4S413iujYCm5QJoKUG19a_Y/edit?disco=AAAAJOCzR1A" TargetMode="External"/><Relationship Id="rId46" Type="http://schemas.openxmlformats.org/officeDocument/2006/relationships/hyperlink" Target="https://www.ithaka.org/privacypolicy" TargetMode="External"/><Relationship Id="rId59" Type="http://schemas.openxmlformats.org/officeDocument/2006/relationships/hyperlink" Target="https://docs.google.com/spreadsheets/d/1xiINlF9P00tO-5lGKi3v4S413iujYCm5QJoKUG19a_Y/edit?disco=AAAAJOWMoDg" TargetMode="External"/><Relationship Id="rId67" Type="http://schemas.openxmlformats.org/officeDocument/2006/relationships/hyperlink" Target="https://www.ucpress.edu/about/privacy-policy" TargetMode="External"/><Relationship Id="rId20" Type="http://schemas.openxmlformats.org/officeDocument/2006/relationships/hyperlink" Target="https://www.softchalkcloud.com/privacy" TargetMode="External"/><Relationship Id="rId41" Type="http://schemas.openxmlformats.org/officeDocument/2006/relationships/hyperlink" Target="https://docs.google.com/spreadsheets/d/1xiINlF9P00tO-5lGKi3v4S413iujYCm5QJoKUG19a_Y/edit?disco=AAAAJOCzR2Y" TargetMode="External"/><Relationship Id="rId54" Type="http://schemas.openxmlformats.org/officeDocument/2006/relationships/hyperlink" Target="https://help.heinonline.org/kb/what-is-heinonlines-privacy-policy/" TargetMode="External"/><Relationship Id="rId62" Type="http://schemas.openxmlformats.org/officeDocument/2006/relationships/hyperlink" Target="https://docs.google.com/spreadsheets/d/1xiINlF9P00tO-5lGKi3v4S413iujYCm5QJoKUG19a_Y/edit?disco=AAAAJOWMoDo" TargetMode="External"/><Relationship Id="rId70" Type="http://schemas.openxmlformats.org/officeDocument/2006/relationships/hyperlink" Target="https://docs.google.com/spreadsheets/d/1xiINlF9P00tO-5lGKi3v4S413iujYCm5QJoKUG19a_Y/edit?disco=AAAAJOWMoEs" TargetMode="External"/><Relationship Id="rId75" Type="http://schemas.openxmlformats.org/officeDocument/2006/relationships/hyperlink" Target="https://docs.google.com/spreadsheets/d/1xiINlF9P00tO-5lGKi3v4S413iujYCm5QJoKUG19a_Y/edit?disco=AAAAGV1qUV0" TargetMode="External"/><Relationship Id="rId83" Type="http://schemas.openxmlformats.org/officeDocument/2006/relationships/hyperlink" Target="https://archive.org/details/nationalemergencylibrary" TargetMode="External"/><Relationship Id="rId88" Type="http://schemas.openxmlformats.org/officeDocument/2006/relationships/hyperlink" Target="https://docs.google.com/spreadsheets/d/1xiINlF9P00tO-5lGKi3v4S413iujYCm5QJoKUG19a_Y/edit?disco=AAAAJPpqkp4" TargetMode="External"/><Relationship Id="rId91" Type="http://schemas.openxmlformats.org/officeDocument/2006/relationships/hyperlink" Target="https://docs.google.com/spreadsheets/d/1xiINlF9P00tO-5lGKi3v4S413iujYCm5QJoKUG19a_Y/edit" TargetMode="External"/><Relationship Id="rId96" Type="http://schemas.openxmlformats.org/officeDocument/2006/relationships/hyperlink" Target="https://docs.google.com/spreadsheets/d/1xiINlF9P00tO-5lGKi3v4S413iujYCm5QJoKUG19a_Y/edit" TargetMode="External"/><Relationship Id="rId1" Type="http://schemas.openxmlformats.org/officeDocument/2006/relationships/hyperlink" Target="https://docs.google.com/forms/d/e/1FAIpQLSdzgURebn1_Fzld39UJAGSAKcebWonnIVaPSfFuAilCmX95ig/viewform?usp=sf_link" TargetMode="External"/><Relationship Id="rId6" Type="http://schemas.openxmlformats.org/officeDocument/2006/relationships/hyperlink" Target="https://www.jove.com/about/policies/" TargetMode="External"/><Relationship Id="rId15" Type="http://schemas.openxmlformats.org/officeDocument/2006/relationships/hyperlink" Target="https://docs.google.com/spreadsheets/d/1xiINlF9P00tO-5lGKi3v4S413iujYCm5QJoKUG19a_Y/edit?disco=AAAAJOCzR1E" TargetMode="External"/><Relationship Id="rId23" Type="http://schemas.openxmlformats.org/officeDocument/2006/relationships/hyperlink" Target="https://docs.google.com/spreadsheets/d/1xiINlF9P00tO-5lGKi3v4S413iujYCm5QJoKUG19a_Y/edit?disco=AAAAJOCzR10" TargetMode="External"/><Relationship Id="rId28" Type="http://schemas.openxmlformats.org/officeDocument/2006/relationships/hyperlink" Target="https://docs.google.com/spreadsheets/d/1xiINlF9P00tO-5lGKi3v4S413iujYCm5QJoKUG19a_Y/edit?disco=AAAAJOCzR2A" TargetMode="External"/><Relationship Id="rId36" Type="http://schemas.openxmlformats.org/officeDocument/2006/relationships/hyperlink" Target="https://docs.google.com/spreadsheets/d/1xiINlF9P00tO-5lGKi3v4S413iujYCm5QJoKUG19a_Y/edit?disco=AAAAJOCzR04" TargetMode="External"/><Relationship Id="rId49" Type="http://schemas.openxmlformats.org/officeDocument/2006/relationships/hyperlink" Target="https://docs.google.com/spreadsheets/d/1xiINlF9P00tO-5lGKi3v4S413iujYCm5QJoKUG19a_Y/edit?disco=AAAAJOCzR2o" TargetMode="External"/><Relationship Id="rId57" Type="http://schemas.openxmlformats.org/officeDocument/2006/relationships/hyperlink" Target="https://docs.google.com/spreadsheets/d/1xiINlF9P00tO-5lGKi3v4S413iujYCm5QJoKUG19a_Y/edit?disco=AAAAJOWMoAQ" TargetMode="External"/><Relationship Id="rId10" Type="http://schemas.openxmlformats.org/officeDocument/2006/relationships/hyperlink" Target="https://bioone.org/privacy-policy" TargetMode="External"/><Relationship Id="rId31" Type="http://schemas.openxmlformats.org/officeDocument/2006/relationships/hyperlink" Target="https://docs.google.com/spreadsheets/d/1xiINlF9P00tO-5lGKi3v4S413iujYCm5QJoKUG19a_Y/edit?disco=AAAAJOCzRwM" TargetMode="External"/><Relationship Id="rId44" Type="http://schemas.openxmlformats.org/officeDocument/2006/relationships/hyperlink" Target="https://wolterskluwer.com/privacy-cookies.html" TargetMode="External"/><Relationship Id="rId52" Type="http://schemas.openxmlformats.org/officeDocument/2006/relationships/hyperlink" Target="https://www.karger.com/Info/PrivacyPolicy" TargetMode="External"/><Relationship Id="rId60" Type="http://schemas.openxmlformats.org/officeDocument/2006/relationships/hyperlink" Target="https://www.dimensions.ai/privacy/" TargetMode="External"/><Relationship Id="rId65" Type="http://schemas.openxmlformats.org/officeDocument/2006/relationships/hyperlink" Target="https://www.ebsco.com/company/privacy-policy" TargetMode="External"/><Relationship Id="rId73" Type="http://schemas.openxmlformats.org/officeDocument/2006/relationships/hyperlink" Target="https://www.ebsco.com/company/privacy-policy" TargetMode="External"/><Relationship Id="rId78" Type="http://schemas.openxmlformats.org/officeDocument/2006/relationships/hyperlink" Target="https://www.accessmedicinenetwork.com/pages/privacy-policy-mgh" TargetMode="External"/><Relationship Id="rId81" Type="http://schemas.openxmlformats.org/officeDocument/2006/relationships/hyperlink" Target="https://docs.google.com/spreadsheets/d/1xiINlF9P00tO-5lGKi3v4S413iujYCm5QJoKUG19a_Y/edit?disco=AAAAGV1qUWA" TargetMode="External"/><Relationship Id="rId86" Type="http://schemas.openxmlformats.org/officeDocument/2006/relationships/hyperlink" Target="https://docs.google.com/spreadsheets/d/1xiINlF9P00tO-5lGKi3v4S413iujYCm5QJoKUG19a_Y/edit?disco=AAAAJPpqkoU" TargetMode="External"/><Relationship Id="rId94" Type="http://schemas.openxmlformats.org/officeDocument/2006/relationships/hyperlink" Target="https://www.ravenpack.com/privacy/" TargetMode="External"/><Relationship Id="rId4" Type="http://schemas.openxmlformats.org/officeDocument/2006/relationships/hyperlink" Target="https://www.annualreviews.org/page/about/privacy" TargetMode="External"/><Relationship Id="rId9" Type="http://schemas.openxmlformats.org/officeDocument/2006/relationships/hyperlink" Target="https://docs.google.com/spreadsheets/d/1xiINlF9P00tO-5lGKi3v4S413iujYCm5QJoKUG19a_Y/edit?disco=AAAAJOCzR1c" TargetMode="External"/><Relationship Id="rId13" Type="http://schemas.openxmlformats.org/officeDocument/2006/relationships/hyperlink" Target="https://docs.google.com/spreadsheets/d/1xiINlF9P00tO-5lGKi3v4S413iujYCm5QJoKUG19a_Y/edit?disco=AAAAJOCzR1k" TargetMode="External"/><Relationship Id="rId18" Type="http://schemas.openxmlformats.org/officeDocument/2006/relationships/hyperlink" Target="https://www.wiley-vch.de/en/info/contact-masthead" TargetMode="External"/><Relationship Id="rId39" Type="http://schemas.openxmlformats.org/officeDocument/2006/relationships/hyperlink" Target="https://docs.google.com/spreadsheets/d/1xiINlF9P00tO-5lGKi3v4S413iujYCm5QJoKUG19a_Y/edit?disco=AAAAJOCzR1U" TargetMode="External"/><Relationship Id="rId34" Type="http://schemas.openxmlformats.org/officeDocument/2006/relationships/hyperlink" Target="https://www.dukeupress.edu/Legal/Privacy" TargetMode="External"/><Relationship Id="rId50" Type="http://schemas.openxmlformats.org/officeDocument/2006/relationships/hyperlink" Target="https://informa.com/privacy-policy/" TargetMode="External"/><Relationship Id="rId55" Type="http://schemas.openxmlformats.org/officeDocument/2006/relationships/hyperlink" Target="https://docs.google.com/spreadsheets/d/1xiINlF9P00tO-5lGKi3v4S413iujYCm5QJoKUG19a_Y/edit?disco=AAAAJOWMoAM" TargetMode="External"/><Relationship Id="rId76" Type="http://schemas.openxmlformats.org/officeDocument/2006/relationships/hyperlink" Target="https://global.oup.com/booksites/content/9780198846864/" TargetMode="External"/><Relationship Id="rId97" Type="http://schemas.openxmlformats.org/officeDocument/2006/relationships/table" Target="../tables/table2.xml"/><Relationship Id="rId7" Type="http://schemas.openxmlformats.org/officeDocument/2006/relationships/hyperlink" Target="https://docs.google.com/spreadsheets/d/1xiINlF9P00tO-5lGKi3v4S413iujYCm5QJoKUG19a_Y/edit?disco=AAAAJOCzR0o" TargetMode="External"/><Relationship Id="rId71" Type="http://schemas.openxmlformats.org/officeDocument/2006/relationships/hyperlink" Target="https://www.ieee.org/about/help/security_privacy.html" TargetMode="External"/><Relationship Id="rId92" Type="http://schemas.openxmlformats.org/officeDocument/2006/relationships/hyperlink" Target="https://apropos.erudit.org/en/implementation-of-a-privacy-policy/" TargetMode="External"/><Relationship Id="rId2" Type="http://schemas.openxmlformats.org/officeDocument/2006/relationships/hyperlink" Target="https://drive.google.com/open?id=1pFSA-yEDixl5ZKtQmEUOuW_vdDFLdzDbhjP5Cjrkajo" TargetMode="External"/><Relationship Id="rId29" Type="http://schemas.openxmlformats.org/officeDocument/2006/relationships/hyperlink" Target="https://docs.google.com/spreadsheets/d/1xiINlF9P00tO-5lGKi3v4S413iujYCm5QJoKUG19a_Y/edit?disco=AAAAJOCzR00" TargetMode="External"/><Relationship Id="rId24" Type="http://schemas.openxmlformats.org/officeDocument/2006/relationships/hyperlink" Target="https://www.ebsco.com/gdpr" TargetMode="External"/><Relationship Id="rId40" Type="http://schemas.openxmlformats.org/officeDocument/2006/relationships/hyperlink" Target="https://www.wiley.com/en-gb/privacy" TargetMode="External"/><Relationship Id="rId45" Type="http://schemas.openxmlformats.org/officeDocument/2006/relationships/hyperlink" Target="https://docs.google.com/spreadsheets/d/1xiINlF9P00tO-5lGKi3v4S413iujYCm5QJoKUG19a_Y/edit?disco=AAAAJOCzR2g" TargetMode="External"/><Relationship Id="rId66" Type="http://schemas.openxmlformats.org/officeDocument/2006/relationships/hyperlink" Target="https://docs.google.com/spreadsheets/d/1xiINlF9P00tO-5lGKi3v4S413iujYCm5QJoKUG19a_Y/edit?disco=AAAAJOWMoDw" TargetMode="External"/><Relationship Id="rId87" Type="http://schemas.openxmlformats.org/officeDocument/2006/relationships/hyperlink" Target="https://royalsociety.org/about-us/terms-conditions-policies/cookies/" TargetMode="External"/><Relationship Id="rId61" Type="http://schemas.openxmlformats.org/officeDocument/2006/relationships/hyperlink" Target="https://docs.google.com/spreadsheets/d/1xiINlF9P00tO-5lGKi3v4S413iujYCm5QJoKUG19a_Y/edit?disco=AAAAJOWMoDk" TargetMode="External"/><Relationship Id="rId82" Type="http://schemas.openxmlformats.org/officeDocument/2006/relationships/hyperlink" Target="https://docs.google.com/spreadsheets/d/1xiINlF9P00tO-5lGKi3v4S413iujYCm5QJoKUG19a_Y/edit?disco=AAAAGV1qUV8" TargetMode="External"/><Relationship Id="rId19" Type="http://schemas.openxmlformats.org/officeDocument/2006/relationships/hyperlink" Target="https://docs.google.com/spreadsheets/d/1xiINlF9P00tO-5lGKi3v4S413iujYCm5QJoKUG19a_Y/edit?disco=AAAAJOCzR2I" TargetMode="External"/><Relationship Id="rId14" Type="http://schemas.openxmlformats.org/officeDocument/2006/relationships/hyperlink" Target="https://privacy.elsevier.com/" TargetMode="External"/><Relationship Id="rId30" Type="http://schemas.openxmlformats.org/officeDocument/2006/relationships/hyperlink" Target="https://docs.google.com/spreadsheets/d/1xiINlF9P00tO-5lGKi3v4S413iujYCm5QJoKUG19a_Y/edit?disco=AAAAJOCzR1Q" TargetMode="External"/><Relationship Id="rId35" Type="http://schemas.openxmlformats.org/officeDocument/2006/relationships/hyperlink" Target="https://docs.google.com/spreadsheets/d/1xiINlF9P00tO-5lGKi3v4S413iujYCm5QJoKUG19a_Y/edit?disco=AAAAJOCzR1M" TargetMode="External"/><Relationship Id="rId56" Type="http://schemas.openxmlformats.org/officeDocument/2006/relationships/hyperlink" Target="https://privacy.liebertpub.com/" TargetMode="External"/><Relationship Id="rId77" Type="http://schemas.openxmlformats.org/officeDocument/2006/relationships/hyperlink" Target="https://docs.google.com/spreadsheets/d/1xiINlF9P00tO-5lGKi3v4S413iujYCm5QJoKUG19a_Y/edit?disco=AAAAGV1qUV4" TargetMode="External"/><Relationship Id="rId8" Type="http://schemas.openxmlformats.org/officeDocument/2006/relationships/hyperlink" Target="https://docuseek2.wiki.zoho.com/Privacy-Statement.html" TargetMode="External"/><Relationship Id="rId51" Type="http://schemas.openxmlformats.org/officeDocument/2006/relationships/hyperlink" Target="https://docs.google.com/spreadsheets/d/1xiINlF9P00tO-5lGKi3v4S413iujYCm5QJoKUG19a_Y/edit?disco=AAAAJOWMoAE" TargetMode="External"/><Relationship Id="rId72" Type="http://schemas.openxmlformats.org/officeDocument/2006/relationships/hyperlink" Target="https://docs.google.com/spreadsheets/d/1xiINlF9P00tO-5lGKi3v4S413iujYCm5QJoKUG19a_Y/edit?disco=AAAAJOWMoEw" TargetMode="External"/><Relationship Id="rId93" Type="http://schemas.openxmlformats.org/officeDocument/2006/relationships/hyperlink" Target="https://docs.google.com/spreadsheets/d/1xiINlF9P00tO-5lGKi3v4S413iujYCm5QJoKUG19a_Y/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44"/>
  <sheetViews>
    <sheetView tabSelected="1" workbookViewId="0">
      <pane xSplit="1" ySplit="2" topLeftCell="B3" activePane="bottomRight" state="frozen"/>
      <selection pane="topRight" activeCell="B1" sqref="B1"/>
      <selection pane="bottomLeft" activeCell="A5" sqref="A5"/>
      <selection pane="bottomRight" activeCell="A51" sqref="A51"/>
    </sheetView>
  </sheetViews>
  <sheetFormatPr defaultColWidth="14.453125" defaultRowHeight="15.75" customHeight="1" x14ac:dyDescent="0.25"/>
  <cols>
    <col min="1" max="1" width="34.453125" style="28" customWidth="1"/>
    <col min="2" max="2" width="17.81640625" style="28" customWidth="1"/>
    <col min="3" max="3" width="43.7265625" style="28" customWidth="1"/>
    <col min="4" max="4" width="37.81640625" style="28" customWidth="1"/>
    <col min="5" max="5" width="24.26953125" style="28" customWidth="1"/>
    <col min="6" max="6" width="41" style="28" customWidth="1"/>
    <col min="7" max="7" width="21.7265625" style="28" customWidth="1"/>
    <col min="8" max="8" width="41.08984375" style="28" customWidth="1"/>
    <col min="9" max="9" width="14.453125" style="79"/>
    <col min="10" max="10" width="20.08984375" style="79" customWidth="1"/>
    <col min="11" max="20" width="14.453125" style="79"/>
    <col min="21" max="16384" width="14.453125" style="28"/>
  </cols>
  <sheetData>
    <row r="1" spans="1:26" ht="31" x14ac:dyDescent="0.25">
      <c r="A1" s="80" t="s">
        <v>3</v>
      </c>
      <c r="B1" s="80" t="s">
        <v>0</v>
      </c>
      <c r="C1" s="81" t="s">
        <v>4</v>
      </c>
      <c r="D1" s="80" t="s">
        <v>6</v>
      </c>
      <c r="E1" s="80" t="s">
        <v>7</v>
      </c>
      <c r="F1" s="80" t="s">
        <v>8</v>
      </c>
      <c r="G1" s="80" t="s">
        <v>9</v>
      </c>
      <c r="H1" s="80" t="s">
        <v>10</v>
      </c>
      <c r="I1" s="76"/>
      <c r="J1" s="76"/>
      <c r="K1" s="76"/>
      <c r="L1" s="76"/>
      <c r="M1" s="76"/>
      <c r="N1" s="76"/>
      <c r="O1" s="76"/>
      <c r="P1" s="76"/>
      <c r="Q1" s="76"/>
      <c r="R1" s="76"/>
      <c r="S1" s="76"/>
      <c r="T1" s="76"/>
      <c r="U1" s="27"/>
      <c r="V1" s="27"/>
      <c r="W1" s="27"/>
      <c r="X1" s="27"/>
      <c r="Y1" s="27"/>
      <c r="Z1" s="27"/>
    </row>
    <row r="2" spans="1:26" ht="36.5" customHeight="1" x14ac:dyDescent="0.25">
      <c r="A2" s="85" t="s">
        <v>20</v>
      </c>
      <c r="B2" s="29" t="s">
        <v>26</v>
      </c>
      <c r="C2" s="51" t="str">
        <f>HYPERLINK("https://www.sciencemag.org/tags/coronavirus","Latest News, Research, and Commentary on the coronavirus")</f>
        <v>Latest News, Research, and Commentary on the coronavirus</v>
      </c>
      <c r="D2" s="51" t="str">
        <f>HYPERLINK("https://www.sciencemag.org/coronavirus-research-commentary-and-news?intcmp=ghd_cov","Click here to access the latest COVID-19 research and news")</f>
        <v>Click here to access the latest COVID-19 research and news</v>
      </c>
      <c r="E2" s="31" t="s">
        <v>15</v>
      </c>
      <c r="F2" s="52"/>
      <c r="G2" s="53" t="s">
        <v>19</v>
      </c>
      <c r="H2" s="39" t="str">
        <f ca="1">VLOOKUP($A2,'ICOLC Public View Feed'!$A$1:$G$96, 6, FALSE)</f>
        <v/>
      </c>
      <c r="I2" s="77"/>
      <c r="J2" s="77"/>
      <c r="K2" s="77"/>
      <c r="L2" s="77"/>
      <c r="M2" s="77"/>
      <c r="N2" s="77"/>
      <c r="O2" s="77"/>
      <c r="P2" s="77"/>
      <c r="Q2" s="77"/>
      <c r="R2" s="77"/>
      <c r="S2" s="77"/>
      <c r="T2" s="77"/>
      <c r="U2" s="33"/>
      <c r="V2" s="33"/>
      <c r="W2" s="33"/>
      <c r="X2" s="33"/>
      <c r="Y2" s="33"/>
      <c r="Z2" s="33"/>
    </row>
    <row r="3" spans="1:26" ht="52.5" customHeight="1" x14ac:dyDescent="0.25">
      <c r="A3" s="85" t="s">
        <v>41</v>
      </c>
      <c r="B3" s="29" t="s">
        <v>26</v>
      </c>
      <c r="C3" s="52" t="s">
        <v>72</v>
      </c>
      <c r="D3" s="54" t="str">
        <f>HYPERLINK("https://jamanetwork.com/journals/jama/pages/coronavirus-alert","About The Novel 2019 Coronavirus COVID-19")</f>
        <v>About The Novel 2019 Coronavirus COVID-19</v>
      </c>
      <c r="E3" s="31" t="s">
        <v>15</v>
      </c>
      <c r="F3" s="52"/>
      <c r="G3" s="53" t="s">
        <v>73</v>
      </c>
      <c r="H3" s="55" t="str">
        <f ca="1">VLOOKUP($A3,'ICOLC Public View Feed'!$A$1:$G$96, 6, FALSE)</f>
        <v>https://jamanetwork.com/pages/privacy-policy</v>
      </c>
      <c r="I3" s="77"/>
      <c r="J3" s="77"/>
      <c r="K3" s="77"/>
      <c r="L3" s="77"/>
      <c r="M3" s="77"/>
      <c r="N3" s="77"/>
      <c r="O3" s="77"/>
      <c r="P3" s="77"/>
      <c r="Q3" s="77"/>
      <c r="R3" s="77"/>
      <c r="S3" s="77"/>
      <c r="T3" s="77"/>
      <c r="U3" s="33"/>
      <c r="V3" s="33"/>
      <c r="W3" s="33"/>
      <c r="X3" s="33"/>
      <c r="Y3" s="33"/>
      <c r="Z3" s="33"/>
    </row>
    <row r="4" spans="1:26" ht="51.5" customHeight="1" x14ac:dyDescent="0.25">
      <c r="A4" s="84" t="s">
        <v>42</v>
      </c>
      <c r="B4" s="29" t="s">
        <v>26</v>
      </c>
      <c r="C4" s="52" t="s">
        <v>74</v>
      </c>
      <c r="D4" s="56" t="s">
        <v>75</v>
      </c>
      <c r="E4" s="31" t="s">
        <v>15</v>
      </c>
      <c r="F4" s="52" t="s">
        <v>76</v>
      </c>
      <c r="G4" s="53" t="s">
        <v>19</v>
      </c>
      <c r="H4" s="39" t="str">
        <f ca="1">VLOOKUP($A4,'ICOLC Public View Feed'!$A$1:$G$96, 6, FALSE)</f>
        <v/>
      </c>
      <c r="I4" s="78"/>
      <c r="J4" s="78"/>
      <c r="K4" s="78"/>
      <c r="L4" s="78"/>
      <c r="M4" s="78"/>
      <c r="N4" s="78"/>
      <c r="O4" s="78"/>
      <c r="P4" s="78"/>
      <c r="Q4" s="78"/>
      <c r="R4" s="78"/>
      <c r="S4" s="78"/>
      <c r="T4" s="78"/>
      <c r="U4" s="41"/>
      <c r="V4" s="41"/>
      <c r="W4" s="41"/>
      <c r="X4" s="41"/>
      <c r="Y4" s="41"/>
      <c r="Z4" s="41"/>
    </row>
    <row r="5" spans="1:26" ht="28.5" customHeight="1" x14ac:dyDescent="0.25">
      <c r="A5" s="84" t="s">
        <v>14</v>
      </c>
      <c r="B5" s="29" t="s">
        <v>2</v>
      </c>
      <c r="C5" s="30" t="str">
        <f>HYPERLINK("https://annualreviewsnews.org/2020/03/13/annual-reviews-removes-access-control-in-response-to-covid-19-pandemic/","All 52 Journals")</f>
        <v>All 52 Journals</v>
      </c>
      <c r="D5" s="30" t="str">
        <f>HYPERLINK("https://www.annualreviews.org/action/showPublications","Browse and Read all titles")</f>
        <v>Browse and Read all titles</v>
      </c>
      <c r="E5" s="31" t="s">
        <v>15</v>
      </c>
      <c r="F5" s="29" t="s">
        <v>17</v>
      </c>
      <c r="G5" s="31" t="s">
        <v>18</v>
      </c>
      <c r="H5" s="32" t="str">
        <f ca="1">VLOOKUP($A5,'ICOLC Public View Feed'!$A$1:$G$96, 6, FALSE)</f>
        <v>https://www.annualreviews.org/page/about/privacy</v>
      </c>
      <c r="I5" s="77"/>
      <c r="J5" s="77"/>
      <c r="K5" s="77"/>
      <c r="L5" s="77"/>
      <c r="M5" s="77"/>
      <c r="N5" s="77"/>
      <c r="O5" s="77"/>
      <c r="P5" s="77"/>
      <c r="Q5" s="77"/>
      <c r="R5" s="77"/>
      <c r="S5" s="77"/>
      <c r="T5" s="77"/>
      <c r="U5" s="33"/>
      <c r="V5" s="33"/>
      <c r="W5" s="33"/>
      <c r="X5" s="33"/>
      <c r="Y5" s="33"/>
      <c r="Z5" s="33"/>
    </row>
    <row r="6" spans="1:26" ht="41" customHeight="1" x14ac:dyDescent="0.25">
      <c r="A6" s="84" t="s">
        <v>43</v>
      </c>
      <c r="B6" s="29" t="s">
        <v>26</v>
      </c>
      <c r="C6" s="29" t="s">
        <v>77</v>
      </c>
      <c r="D6" s="57" t="str">
        <f>HYPERLINK("https://complete.bioone.org/covid-19","Peer-Reviewed Research to Inform the Coronavirus Crisis")</f>
        <v>Peer-Reviewed Research to Inform the Coronavirus Crisis</v>
      </c>
      <c r="E6" s="31" t="s">
        <v>15</v>
      </c>
      <c r="F6" s="29"/>
      <c r="G6" s="58">
        <v>44196</v>
      </c>
      <c r="H6" s="32" t="str">
        <f ca="1">VLOOKUP($A6,'ICOLC Public View Feed'!$A$1:$G$96, 6, FALSE)</f>
        <v>https://bioone.org/privacy-policy</v>
      </c>
      <c r="I6" s="77"/>
      <c r="J6" s="77"/>
      <c r="K6" s="77"/>
      <c r="L6" s="77"/>
      <c r="M6" s="77"/>
      <c r="N6" s="77"/>
      <c r="O6" s="77"/>
      <c r="P6" s="77"/>
      <c r="Q6" s="77"/>
      <c r="R6" s="77"/>
      <c r="S6" s="77"/>
      <c r="T6" s="77"/>
      <c r="U6" s="33"/>
      <c r="V6" s="33"/>
      <c r="W6" s="33"/>
      <c r="X6" s="33"/>
      <c r="Y6" s="33"/>
      <c r="Z6" s="33"/>
    </row>
    <row r="7" spans="1:26" ht="43" customHeight="1" x14ac:dyDescent="0.25">
      <c r="A7" s="84" t="s">
        <v>22</v>
      </c>
      <c r="B7" s="29" t="s">
        <v>2</v>
      </c>
      <c r="C7" s="35" t="str">
        <f>HYPERLINK("https://www2.brill.com/COVID-19_Collection","59 ebooks on epidemics, containment strategies, homeschooling, distance learning, and crisis response")</f>
        <v>59 ebooks on epidemics, containment strategies, homeschooling, distance learning, and crisis response</v>
      </c>
      <c r="D7" s="36" t="s">
        <v>23</v>
      </c>
      <c r="E7" s="37" t="s">
        <v>15</v>
      </c>
      <c r="F7" s="38" t="s">
        <v>24</v>
      </c>
      <c r="G7" s="37" t="s">
        <v>19</v>
      </c>
      <c r="H7" s="39" t="str">
        <f ca="1">VLOOKUP($A7,'ICOLC Public View Feed'!$A$1:$G$96, 6, FALSE)</f>
        <v/>
      </c>
      <c r="I7" s="77"/>
      <c r="J7" s="77"/>
      <c r="K7" s="77"/>
      <c r="L7" s="77"/>
      <c r="M7" s="77"/>
      <c r="N7" s="77"/>
      <c r="O7" s="77"/>
      <c r="P7" s="77"/>
      <c r="Q7" s="77"/>
      <c r="R7" s="77"/>
      <c r="S7" s="77"/>
      <c r="T7" s="77"/>
      <c r="U7" s="33"/>
      <c r="V7" s="33"/>
      <c r="W7" s="33"/>
      <c r="X7" s="33"/>
      <c r="Y7" s="33"/>
      <c r="Z7" s="33"/>
    </row>
    <row r="8" spans="1:26" ht="40" customHeight="1" x14ac:dyDescent="0.25">
      <c r="A8" s="84" t="s">
        <v>45</v>
      </c>
      <c r="B8" s="29" t="s">
        <v>26</v>
      </c>
      <c r="C8" s="30" t="str">
        <f>HYPERLINK("https://clarivate.com/coronavirus-resources/","Global resource site for access to the world’s leading research &amp; news around the coronaviruses")</f>
        <v>Global resource site for access to the world’s leading research &amp; news around the coronaviruses</v>
      </c>
      <c r="D8" s="30" t="str">
        <f>HYPERLINK("https://clarivate.com/coronavirus-resources-contact-us/","Request access to Cortellis Drug Discovery Intelligence")</f>
        <v>Request access to Cortellis Drug Discovery Intelligence</v>
      </c>
      <c r="E8" s="31" t="s">
        <v>11</v>
      </c>
      <c r="F8" s="29" t="s">
        <v>78</v>
      </c>
      <c r="G8" s="31" t="s">
        <v>19</v>
      </c>
      <c r="H8" s="32" t="str">
        <f ca="1">VLOOKUP($A8,'ICOLC Public View Feed'!$A$1:$G$96, 6, FALSE)</f>
        <v>https://clarivate.com/legal/privacy-policy/</v>
      </c>
      <c r="I8" s="77"/>
      <c r="J8" s="77"/>
      <c r="K8" s="77"/>
      <c r="L8" s="77"/>
      <c r="M8" s="77"/>
      <c r="N8" s="77"/>
      <c r="O8" s="77"/>
      <c r="P8" s="77"/>
      <c r="Q8" s="77"/>
      <c r="R8" s="77"/>
      <c r="S8" s="77"/>
      <c r="T8" s="77"/>
      <c r="U8" s="33"/>
      <c r="V8" s="33"/>
      <c r="W8" s="33"/>
      <c r="X8" s="33"/>
      <c r="Y8" s="33"/>
      <c r="Z8" s="33"/>
    </row>
    <row r="9" spans="1:26" ht="55" customHeight="1" x14ac:dyDescent="0.25">
      <c r="A9" s="84" t="s">
        <v>46</v>
      </c>
      <c r="B9" s="29" t="s">
        <v>26</v>
      </c>
      <c r="C9" s="38" t="s">
        <v>79</v>
      </c>
      <c r="D9" s="43" t="str">
        <f>HYPERLINK("http://en.gzbd.cnki.net/GZBT/brief/Default.aspx","List of articles")</f>
        <v>List of articles</v>
      </c>
      <c r="E9" s="31" t="s">
        <v>15</v>
      </c>
      <c r="F9" s="38" t="s">
        <v>80</v>
      </c>
      <c r="G9" s="37" t="s">
        <v>16</v>
      </c>
      <c r="H9" s="39" t="str">
        <f ca="1">VLOOKUP($A9,'ICOLC Public View Feed'!$A$1:$G$96, 6, FALSE)</f>
        <v>None Found</v>
      </c>
      <c r="I9" s="77"/>
      <c r="J9" s="77"/>
      <c r="K9" s="77"/>
      <c r="L9" s="77"/>
      <c r="M9" s="77"/>
      <c r="N9" s="77"/>
      <c r="O9" s="77"/>
      <c r="P9" s="77"/>
      <c r="Q9" s="77"/>
      <c r="R9" s="77"/>
      <c r="S9" s="77"/>
      <c r="T9" s="77"/>
      <c r="U9" s="33"/>
      <c r="V9" s="33"/>
      <c r="W9" s="33"/>
      <c r="X9" s="33"/>
      <c r="Y9" s="33"/>
      <c r="Z9" s="33"/>
    </row>
    <row r="10" spans="1:26" ht="40" customHeight="1" x14ac:dyDescent="0.25">
      <c r="A10" s="84" t="s">
        <v>27</v>
      </c>
      <c r="B10" s="33" t="s">
        <v>2</v>
      </c>
      <c r="C10" s="29" t="s">
        <v>28</v>
      </c>
      <c r="D10" s="40" t="str">
        <f>HYPERLINK("https://www.cochranelibrary.com/search","Search the database")</f>
        <v>Search the database</v>
      </c>
      <c r="E10" s="31" t="s">
        <v>15</v>
      </c>
      <c r="F10" s="38"/>
      <c r="G10" s="37" t="s">
        <v>19</v>
      </c>
      <c r="H10" s="32" t="str">
        <f ca="1">VLOOKUP($A10,'ICOLC Public View Feed'!$A$1:$G$96, 6, FALSE)</f>
        <v>https://www.wiley.com/en-gb/privacy</v>
      </c>
      <c r="I10" s="78"/>
      <c r="J10" s="78"/>
      <c r="K10" s="78"/>
      <c r="L10" s="78"/>
      <c r="M10" s="78"/>
      <c r="N10" s="78"/>
      <c r="O10" s="78"/>
      <c r="P10" s="78"/>
      <c r="Q10" s="78"/>
      <c r="R10" s="78"/>
      <c r="S10" s="78"/>
      <c r="T10" s="78"/>
      <c r="U10" s="41"/>
      <c r="V10" s="41"/>
      <c r="W10" s="41"/>
      <c r="X10" s="41"/>
      <c r="Y10" s="41"/>
      <c r="Z10" s="41"/>
    </row>
    <row r="11" spans="1:26" ht="48.5" customHeight="1" x14ac:dyDescent="0.25">
      <c r="A11" s="84" t="s">
        <v>27</v>
      </c>
      <c r="B11" s="29" t="s">
        <v>26</v>
      </c>
      <c r="C11" s="38" t="s">
        <v>81</v>
      </c>
      <c r="D11" s="43" t="s">
        <v>82</v>
      </c>
      <c r="E11" s="31" t="s">
        <v>15</v>
      </c>
      <c r="F11" s="38"/>
      <c r="G11" s="37" t="s">
        <v>19</v>
      </c>
      <c r="H11" s="32" t="str">
        <f ca="1">VLOOKUP($A11,'ICOLC Public View Feed'!$A$1:$G$96, 6, FALSE)</f>
        <v>https://www.wiley.com/en-gb/privacy</v>
      </c>
      <c r="I11" s="78"/>
      <c r="J11" s="78"/>
      <c r="K11" s="78"/>
      <c r="L11" s="78"/>
      <c r="M11" s="78"/>
      <c r="N11" s="78"/>
      <c r="O11" s="78"/>
      <c r="P11" s="78"/>
      <c r="Q11" s="78"/>
      <c r="R11" s="78"/>
      <c r="S11" s="78"/>
      <c r="T11" s="78"/>
      <c r="U11" s="41"/>
      <c r="V11" s="41"/>
      <c r="W11" s="41"/>
      <c r="X11" s="41"/>
      <c r="Y11" s="41"/>
      <c r="Z11" s="41"/>
    </row>
    <row r="12" spans="1:26" ht="62.5" x14ac:dyDescent="0.25">
      <c r="A12" s="84" t="s">
        <v>47</v>
      </c>
      <c r="B12" s="29" t="s">
        <v>26</v>
      </c>
      <c r="C12" s="43" t="str">
        <f>HYPERLINK("https://www.dimensions.ai/news/dimensions-is-facilitating-access-to-covid-19-research/","Exportable file of all relevant content on COVID-19 in Dimensions. As of 22 Mar publications: 4164, 
trials: 645, datasets: 54; Updated daily")</f>
        <v>Exportable file of all relevant content on COVID-19 in Dimensions. As of 22 Mar publications: 4164, 
trials: 645, datasets: 54; Updated daily</v>
      </c>
      <c r="D12" s="43" t="str">
        <f>HYPERLINK("https://ds.digital-science.com/e/533712/X0ZQa232VWRmw-edit-usp-sharing/9jm2nr/905261300?h=EuqvDPElYLtQwAdIuxd2k7-lqnfPqkDJzfVovkBryh8","Downloadable Google Sheet, updated daily ")</f>
        <v xml:space="preserve">Downloadable Google Sheet, updated daily </v>
      </c>
      <c r="E12" s="31" t="s">
        <v>15</v>
      </c>
      <c r="F12" s="38" t="s">
        <v>83</v>
      </c>
      <c r="G12" s="37" t="s">
        <v>19</v>
      </c>
      <c r="H12" s="32" t="str">
        <f ca="1">VLOOKUP($A12,'ICOLC Public View Feed'!$A$1:$G$96, 6, FALSE)</f>
        <v>https://www.dimensions.ai/privacy/</v>
      </c>
      <c r="I12" s="77"/>
      <c r="J12" s="77"/>
      <c r="K12" s="77"/>
      <c r="L12" s="77"/>
      <c r="M12" s="77"/>
      <c r="N12" s="77"/>
      <c r="O12" s="77"/>
      <c r="P12" s="77"/>
      <c r="Q12" s="77"/>
      <c r="R12" s="77"/>
      <c r="S12" s="77"/>
      <c r="T12" s="77"/>
      <c r="U12" s="33"/>
      <c r="V12" s="33"/>
      <c r="W12" s="33"/>
      <c r="X12" s="33"/>
      <c r="Y12" s="33"/>
      <c r="Z12" s="33"/>
    </row>
    <row r="13" spans="1:26" ht="50" x14ac:dyDescent="0.25">
      <c r="A13" s="84" t="s">
        <v>29</v>
      </c>
      <c r="B13" s="29" t="s">
        <v>2</v>
      </c>
      <c r="C13" s="38" t="s">
        <v>30</v>
      </c>
      <c r="D13" s="43" t="str">
        <f>HYPERLINK("https://go.ebsco.com/L202QN00k1h50L8S50H0T0s","Simplified version of Faculty Select")</f>
        <v>Simplified version of Faculty Select</v>
      </c>
      <c r="E13" s="31" t="s">
        <v>15</v>
      </c>
      <c r="F13" s="38" t="s">
        <v>31</v>
      </c>
      <c r="G13" s="37" t="s">
        <v>19</v>
      </c>
      <c r="H13" s="32" t="str">
        <f ca="1">VLOOKUP($A13,'ICOLC Public View Feed'!$A$1:$G$96, 6, FALSE)</f>
        <v>https://www.ebsco.com/company/privacy-policy</v>
      </c>
      <c r="I13" s="77"/>
      <c r="J13" s="77"/>
      <c r="K13" s="77"/>
      <c r="L13" s="77"/>
      <c r="M13" s="77"/>
      <c r="N13" s="77"/>
      <c r="O13" s="77"/>
      <c r="P13" s="77"/>
      <c r="Q13" s="77"/>
      <c r="R13" s="77"/>
      <c r="S13" s="77"/>
      <c r="T13" s="77"/>
      <c r="U13" s="33"/>
      <c r="V13" s="33"/>
      <c r="W13" s="33"/>
      <c r="X13" s="33"/>
      <c r="Y13" s="33"/>
      <c r="Z13" s="33"/>
    </row>
    <row r="14" spans="1:26" ht="37.5" x14ac:dyDescent="0.25">
      <c r="A14" s="84" t="s">
        <v>1</v>
      </c>
      <c r="B14" s="29" t="s">
        <v>2</v>
      </c>
      <c r="C14" s="44" t="str">
        <f>HYPERLINK("https://www.elsevier.com/connect/coronavirus-initiatives#textbooks","256 Textbooks across many subjects (published between 1977 and 2020)")</f>
        <v>256 Textbooks across many subjects (published between 1977 and 2020)</v>
      </c>
      <c r="D14" s="38" t="s">
        <v>33</v>
      </c>
      <c r="E14" s="31" t="s">
        <v>21</v>
      </c>
      <c r="F14" s="45" t="str">
        <f>HYPERLINK("https://www.elsevier.com/__data/promis_misc/sd-content/books/edutxt20.xlsx","Download list of books available (xlsx); these books also participating in EBSCO and ProQuest Unlimited User Upgrade program")</f>
        <v>Download list of books available (xlsx); these books also participating in EBSCO and ProQuest Unlimited User Upgrade program</v>
      </c>
      <c r="G14" s="37" t="s">
        <v>5</v>
      </c>
      <c r="H14" s="46" t="str">
        <f ca="1">VLOOKUP($A14,'ICOLC Public View Feed'!$A$1:$G$96, 6, FALSE)</f>
        <v>https://privacy.elsevier.com/</v>
      </c>
      <c r="I14" s="77"/>
      <c r="J14" s="77"/>
      <c r="K14" s="77"/>
      <c r="L14" s="77"/>
      <c r="M14" s="77"/>
      <c r="N14" s="77"/>
      <c r="O14" s="77"/>
      <c r="P14" s="77"/>
      <c r="Q14" s="77"/>
      <c r="R14" s="77"/>
      <c r="S14" s="77"/>
      <c r="T14" s="77"/>
      <c r="U14" s="33"/>
      <c r="V14" s="33"/>
      <c r="W14" s="33"/>
      <c r="X14" s="33"/>
      <c r="Y14" s="33"/>
      <c r="Z14" s="33"/>
    </row>
    <row r="15" spans="1:26" ht="37.5" x14ac:dyDescent="0.25">
      <c r="A15" s="83" t="s">
        <v>1</v>
      </c>
      <c r="B15" s="29" t="s">
        <v>26</v>
      </c>
      <c r="C15" s="59" t="str">
        <f>HYPERLINK("https://www.google.com/url?q=https://www.elsevier.com/connect/coronavirus-initiatives&amp;sa=D&amp;ust=1585263636181000&amp;usg=AFQjCNHVJfBjVp3XiKBGyfxpaGXUuQMNyw","Journal Article hubs from Elsevier, Lancet and Cell Press as well as Springer Nature, Wiley, NEJM, BMJ, ASM, and Chongqing VIP  ")</f>
        <v xml:space="preserve">Journal Article hubs from Elsevier, Lancet and Cell Press as well as Springer Nature, Wiley, NEJM, BMJ, ASM, and Chongqing VIP  </v>
      </c>
      <c r="D15" s="59" t="str">
        <f>HYPERLINK("https://www.elsevier.com/connect/coronavirus-information-center?dgcid=_SD_banner#research","COVID-19 Information Center")</f>
        <v>COVID-19 Information Center</v>
      </c>
      <c r="E15" s="31" t="s">
        <v>15</v>
      </c>
      <c r="F15" s="29" t="s">
        <v>84</v>
      </c>
      <c r="G15" s="31" t="s">
        <v>19</v>
      </c>
      <c r="H15" s="32" t="str">
        <f ca="1">VLOOKUP($A15,'ICOLC Public View Feed'!$A$1:$G$96, 6, FALSE)</f>
        <v>https://privacy.elsevier.com/</v>
      </c>
      <c r="I15" s="78"/>
      <c r="J15" s="78"/>
      <c r="K15" s="78"/>
      <c r="L15" s="78"/>
      <c r="M15" s="78"/>
      <c r="N15" s="78"/>
      <c r="O15" s="78"/>
      <c r="P15" s="78"/>
      <c r="Q15" s="78"/>
      <c r="R15" s="78"/>
      <c r="S15" s="78"/>
      <c r="T15" s="78"/>
      <c r="U15" s="41"/>
      <c r="V15" s="41"/>
      <c r="W15" s="41"/>
      <c r="X15" s="41"/>
      <c r="Y15" s="41"/>
      <c r="Z15" s="41"/>
    </row>
    <row r="16" spans="1:26" ht="37.5" x14ac:dyDescent="0.25">
      <c r="A16" s="86" t="s">
        <v>48</v>
      </c>
      <c r="B16" s="29" t="s">
        <v>26</v>
      </c>
      <c r="C16" s="43" t="str">
        <f>HYPERLINK("https://www.emeraldgrouppublishing.com/promo/coronavirus.htm","22+ expert briefings, journal articles, and book chapters related to coronavirus and the management of epidemics")</f>
        <v>22+ expert briefings, journal articles, and book chapters related to coronavirus and the management of epidemics</v>
      </c>
      <c r="D16" s="43" t="str">
        <f>HYPERLINK("https://www.emeraldgrouppublishing.com/promo/coronavirus.htm","Link to list of documents")</f>
        <v>Link to list of documents</v>
      </c>
      <c r="E16" s="31" t="s">
        <v>15</v>
      </c>
      <c r="F16" s="38"/>
      <c r="G16" s="47">
        <v>43921</v>
      </c>
      <c r="H16" s="32" t="str">
        <f ca="1">VLOOKUP($A16,'ICOLC Public View Feed'!$A$1:$G$96, 6, FALSE)</f>
        <v>https://www.emeraldgrouppublishing.com/about/policies/privacy.htm</v>
      </c>
      <c r="I16" s="77"/>
      <c r="J16" s="77"/>
      <c r="K16" s="77"/>
      <c r="L16" s="77"/>
      <c r="M16" s="77"/>
      <c r="N16" s="77"/>
      <c r="O16" s="77"/>
      <c r="P16" s="77"/>
      <c r="Q16" s="77"/>
      <c r="R16" s="77"/>
      <c r="S16" s="77"/>
      <c r="T16" s="77"/>
      <c r="U16" s="33"/>
      <c r="V16" s="33"/>
      <c r="W16" s="33"/>
      <c r="X16" s="33"/>
      <c r="Y16" s="33"/>
      <c r="Z16" s="33"/>
    </row>
    <row r="17" spans="1:26" ht="25.5" customHeight="1" x14ac:dyDescent="0.25">
      <c r="A17" s="84" t="s">
        <v>49</v>
      </c>
      <c r="B17" s="29" t="s">
        <v>40</v>
      </c>
      <c r="C17" s="38" t="s">
        <v>99</v>
      </c>
      <c r="D17" s="82" t="s">
        <v>107</v>
      </c>
      <c r="E17" s="31" t="s">
        <v>21</v>
      </c>
      <c r="F17" s="38" t="s">
        <v>100</v>
      </c>
      <c r="G17" s="37" t="s">
        <v>101</v>
      </c>
      <c r="H17" s="69" t="str">
        <f ca="1">VLOOKUP($A17,'ICOLC Public View Feed'!$A$1:$G$96, 6, FALSE)</f>
        <v>https://www.ieee.org/about/help/security_privacy.html</v>
      </c>
      <c r="I17" s="77"/>
      <c r="J17" s="77"/>
      <c r="K17" s="77"/>
      <c r="L17" s="77"/>
      <c r="M17" s="77"/>
      <c r="N17" s="77"/>
      <c r="O17" s="77"/>
      <c r="P17" s="77"/>
      <c r="Q17" s="77"/>
      <c r="R17" s="77"/>
      <c r="S17" s="77"/>
      <c r="T17" s="77"/>
      <c r="U17" s="33"/>
      <c r="V17" s="33"/>
      <c r="W17" s="33"/>
      <c r="X17" s="33"/>
      <c r="Y17" s="33"/>
      <c r="Z17" s="33"/>
    </row>
    <row r="18" spans="1:26" ht="25.5" customHeight="1" x14ac:dyDescent="0.25">
      <c r="A18" s="84" t="s">
        <v>49</v>
      </c>
      <c r="B18" s="29" t="s">
        <v>26</v>
      </c>
      <c r="C18" s="83" t="s">
        <v>106</v>
      </c>
      <c r="D18" s="82" t="s">
        <v>105</v>
      </c>
      <c r="E18" s="31" t="s">
        <v>21</v>
      </c>
      <c r="F18" s="38" t="s">
        <v>100</v>
      </c>
      <c r="G18" s="37" t="s">
        <v>101</v>
      </c>
      <c r="H18" s="69" t="str">
        <f ca="1">VLOOKUP($A18,'ICOLC Public View Feed'!$A$1:$G$96, 6, FALSE)</f>
        <v>https://www.ieee.org/about/help/security_privacy.html</v>
      </c>
      <c r="I18" s="77"/>
      <c r="J18" s="77"/>
      <c r="K18" s="77"/>
      <c r="L18" s="77"/>
      <c r="M18" s="77"/>
      <c r="N18" s="77"/>
      <c r="O18" s="77"/>
      <c r="P18" s="77"/>
      <c r="Q18" s="77"/>
      <c r="R18" s="77"/>
      <c r="S18" s="77"/>
      <c r="T18" s="77"/>
      <c r="U18" s="33"/>
      <c r="V18" s="33"/>
      <c r="W18" s="33"/>
      <c r="X18" s="33"/>
      <c r="Y18" s="33"/>
      <c r="Z18" s="33"/>
    </row>
    <row r="19" spans="1:26" ht="37.5" x14ac:dyDescent="0.25">
      <c r="A19" s="84" t="s">
        <v>34</v>
      </c>
      <c r="B19" s="29" t="s">
        <v>2</v>
      </c>
      <c r="C19" s="38" t="s">
        <v>35</v>
      </c>
      <c r="D19" s="43" t="str">
        <f>HYPERLINK("https://theindex.princeton.edu/","The database can be accessed at https://theindex.princeton.edu/")</f>
        <v>The database can be accessed at https://theindex.princeton.edu/</v>
      </c>
      <c r="E19" s="31" t="s">
        <v>15</v>
      </c>
      <c r="F19" s="38"/>
      <c r="G19" s="47">
        <v>43983</v>
      </c>
      <c r="H19" s="39" t="str">
        <f ca="1">VLOOKUP($A19,'ICOLC Public View Feed'!$A$1:$G$96, 6, FALSE)</f>
        <v/>
      </c>
      <c r="I19" s="77"/>
      <c r="J19" s="77"/>
      <c r="K19" s="77"/>
      <c r="L19" s="77"/>
      <c r="M19" s="77"/>
      <c r="N19" s="77"/>
      <c r="O19" s="77"/>
      <c r="P19" s="77"/>
      <c r="Q19" s="77"/>
      <c r="R19" s="77"/>
      <c r="S19" s="77"/>
      <c r="T19" s="77"/>
      <c r="U19" s="33"/>
      <c r="V19" s="33"/>
      <c r="W19" s="33"/>
      <c r="X19" s="33"/>
      <c r="Y19" s="33"/>
      <c r="Z19" s="33"/>
    </row>
    <row r="20" spans="1:26" ht="50" x14ac:dyDescent="0.25">
      <c r="A20" s="87" t="s">
        <v>25</v>
      </c>
      <c r="B20" s="29" t="s">
        <v>2</v>
      </c>
      <c r="C20" s="38" t="s">
        <v>36</v>
      </c>
      <c r="D20" s="43" t="str">
        <f>HYPERLINK("http://online.infobaselearning.com/Direct.aspx?aid=280528&amp;pid=WE00","Username: distancelearning; Password: trial")</f>
        <v>Username: distancelearning; Password: trial</v>
      </c>
      <c r="E20" s="31" t="s">
        <v>15</v>
      </c>
      <c r="F20" s="38"/>
      <c r="G20" s="47">
        <v>43951</v>
      </c>
      <c r="H20" s="39" t="str">
        <f ca="1">VLOOKUP($A20,'ICOLC Public View Feed'!$A$1:$G$96, 6, FALSE)</f>
        <v/>
      </c>
      <c r="I20" s="77"/>
      <c r="J20" s="77"/>
      <c r="K20" s="77"/>
      <c r="L20" s="77"/>
      <c r="M20" s="77"/>
      <c r="N20" s="77"/>
      <c r="O20" s="77"/>
      <c r="P20" s="77"/>
      <c r="Q20" s="77"/>
      <c r="R20" s="77"/>
      <c r="S20" s="77"/>
      <c r="T20" s="77"/>
      <c r="U20" s="33"/>
      <c r="V20" s="33"/>
      <c r="W20" s="33"/>
      <c r="X20" s="33"/>
      <c r="Y20" s="33"/>
      <c r="Z20" s="33"/>
    </row>
    <row r="21" spans="1:26" ht="37.5" x14ac:dyDescent="0.25">
      <c r="A21" s="84" t="s">
        <v>37</v>
      </c>
      <c r="B21" s="29" t="s">
        <v>2</v>
      </c>
      <c r="C21" s="48" t="str">
        <f>HYPERLINK("https://archive.org/details/nationalemergencylibrary","1.4 million ebooks (and growing) from their lending library's waitlists. This is in addition to over 2.5 million ebooks already in the public domain.")</f>
        <v>1.4 million ebooks (and growing) from their lending library's waitlists. This is in addition to over 2.5 million ebooks already in the public domain.</v>
      </c>
      <c r="D21" s="49" t="str">
        <f>HYPERLINK("https://archive.org/account/signup","Sign up for a free account here.")</f>
        <v>Sign up for a free account here.</v>
      </c>
      <c r="E21" s="31" t="s">
        <v>11</v>
      </c>
      <c r="F21" s="38" t="s">
        <v>38</v>
      </c>
      <c r="G21" s="47">
        <v>44002</v>
      </c>
      <c r="H21" s="39" t="str">
        <f ca="1">VLOOKUP($A21,'ICOLC Public View Feed'!$A$1:$G$96, 6, FALSE)</f>
        <v/>
      </c>
      <c r="I21" s="78"/>
      <c r="J21" s="78"/>
      <c r="K21" s="78"/>
      <c r="L21" s="78"/>
      <c r="M21" s="78"/>
      <c r="N21" s="78"/>
      <c r="O21" s="78"/>
      <c r="P21" s="78"/>
      <c r="Q21" s="78"/>
      <c r="R21" s="78"/>
      <c r="S21" s="78"/>
      <c r="T21" s="78"/>
      <c r="U21" s="41"/>
      <c r="V21" s="41"/>
      <c r="W21" s="41"/>
      <c r="X21" s="41"/>
      <c r="Y21" s="41"/>
      <c r="Z21" s="41"/>
    </row>
    <row r="22" spans="1:26" ht="62.5" x14ac:dyDescent="0.25">
      <c r="A22" s="84" t="s">
        <v>39</v>
      </c>
      <c r="B22" s="29" t="s">
        <v>2</v>
      </c>
      <c r="C22" s="43" t="str">
        <f>HYPERLINK("https://www.jle.com/fr/covid-19","All John Libbey Content: 23 journals in Medical and Scientific Information")</f>
        <v>All John Libbey Content: 23 journals in Medical and Scientific Information</v>
      </c>
      <c r="D22" s="50" t="str">
        <f>HYPERLINK("https://www.jle.com/en/index.phtml","John Libbey Eurotext")</f>
        <v>John Libbey Eurotext</v>
      </c>
      <c r="E22" s="31" t="s">
        <v>15</v>
      </c>
      <c r="F22" s="38" t="s">
        <v>44</v>
      </c>
      <c r="G22" s="37" t="s">
        <v>19</v>
      </c>
      <c r="H22" s="32" t="str">
        <f ca="1">VLOOKUP($A22,'ICOLC Public View Feed'!$A$1:$G$96, 6, FALSE)</f>
        <v>https://www.jle.com/en/infos_legales</v>
      </c>
      <c r="I22" s="77"/>
      <c r="J22" s="77"/>
      <c r="K22" s="77"/>
      <c r="L22" s="77"/>
      <c r="M22" s="77"/>
      <c r="N22" s="77"/>
      <c r="O22" s="77"/>
      <c r="P22" s="77"/>
      <c r="Q22" s="77"/>
      <c r="R22" s="77"/>
      <c r="S22" s="77"/>
      <c r="T22" s="77"/>
      <c r="U22" s="33"/>
      <c r="V22" s="33"/>
      <c r="W22" s="33"/>
      <c r="X22" s="33"/>
      <c r="Y22" s="33"/>
      <c r="Z22" s="33"/>
    </row>
    <row r="23" spans="1:26" ht="37.5" x14ac:dyDescent="0.25">
      <c r="A23" s="84" t="s">
        <v>50</v>
      </c>
      <c r="B23" s="29" t="s">
        <v>26</v>
      </c>
      <c r="C23" s="29" t="s">
        <v>85</v>
      </c>
      <c r="D23" s="30" t="str">
        <f>HYPERLINK("https://www.karger.com/Tap/Home/278492","Access the Coronavirus Topic Article Package")</f>
        <v>Access the Coronavirus Topic Article Package</v>
      </c>
      <c r="E23" s="31" t="s">
        <v>15</v>
      </c>
      <c r="F23" s="60"/>
      <c r="G23" s="42">
        <v>44196</v>
      </c>
      <c r="H23" s="32" t="str">
        <f ca="1">VLOOKUP($A23,'ICOLC Public View Feed'!$A$1:$G$96, 6, FALSE)</f>
        <v>https://www.karger.com/Info/PrivacyPolicy</v>
      </c>
      <c r="I23" s="78"/>
      <c r="J23" s="78"/>
      <c r="K23" s="78"/>
      <c r="L23" s="78"/>
      <c r="M23" s="78"/>
      <c r="N23" s="78"/>
      <c r="O23" s="78"/>
      <c r="P23" s="78"/>
      <c r="Q23" s="78"/>
      <c r="R23" s="78"/>
      <c r="S23" s="78"/>
      <c r="T23" s="78"/>
      <c r="U23" s="41"/>
      <c r="V23" s="41"/>
      <c r="W23" s="41"/>
      <c r="X23" s="41"/>
      <c r="Y23" s="41"/>
      <c r="Z23" s="41"/>
    </row>
    <row r="24" spans="1:26" ht="25" x14ac:dyDescent="0.25">
      <c r="A24" s="84" t="s">
        <v>51</v>
      </c>
      <c r="B24" s="29" t="s">
        <v>26</v>
      </c>
      <c r="C24" s="38" t="s">
        <v>86</v>
      </c>
      <c r="D24" s="43" t="str">
        <f>HYPERLINK("https://home.liebertpub.com/lpages/-coronavirus-science-backed-research/250/","Access the collection of articles")</f>
        <v>Access the collection of articles</v>
      </c>
      <c r="E24" s="31" t="s">
        <v>15</v>
      </c>
      <c r="F24" s="38"/>
      <c r="G24" s="37" t="s">
        <v>19</v>
      </c>
      <c r="H24" s="32" t="str">
        <f ca="1">VLOOKUP($A24,'ICOLC Public View Feed'!$A$1:$G$96, 6, FALSE)</f>
        <v>https://privacy.liebertpub.com/</v>
      </c>
      <c r="I24" s="78"/>
      <c r="J24" s="78"/>
      <c r="K24" s="78"/>
      <c r="L24" s="78"/>
      <c r="M24" s="78"/>
      <c r="N24" s="78"/>
      <c r="O24" s="78"/>
      <c r="P24" s="78"/>
      <c r="Q24" s="78"/>
      <c r="R24" s="78"/>
      <c r="S24" s="78"/>
      <c r="T24" s="78"/>
      <c r="U24" s="41"/>
      <c r="V24" s="41"/>
      <c r="W24" s="41"/>
      <c r="X24" s="41"/>
      <c r="Y24" s="41"/>
      <c r="Z24" s="41"/>
    </row>
    <row r="25" spans="1:26" ht="37.5" x14ac:dyDescent="0.25">
      <c r="A25" s="84" t="s">
        <v>52</v>
      </c>
      <c r="B25" s="38" t="s">
        <v>26</v>
      </c>
      <c r="C25" s="38" t="s">
        <v>87</v>
      </c>
      <c r="D25" s="61" t="str">
        <f>HYPERLINK("http://click.mheducation.com/thFd1l0mFn0q3010Kg000F4","AccessMedicine COVID-19 Central")</f>
        <v>AccessMedicine COVID-19 Central</v>
      </c>
      <c r="E25" s="31" t="s">
        <v>15</v>
      </c>
      <c r="F25" s="38"/>
      <c r="G25" s="37" t="s">
        <v>19</v>
      </c>
      <c r="H25" s="32" t="str">
        <f ca="1">VLOOKUP($A25,'ICOLC Public View Feed'!$A$1:$G$96, 6, FALSE)</f>
        <v>https://www.accessmedicinenetwork.com/pages/privacy-policy-mgh</v>
      </c>
      <c r="I25" s="77"/>
      <c r="J25" s="77"/>
      <c r="K25" s="77"/>
      <c r="L25" s="77"/>
      <c r="M25" s="77"/>
      <c r="N25" s="77"/>
      <c r="O25" s="77"/>
      <c r="P25" s="77"/>
      <c r="Q25" s="77"/>
      <c r="R25" s="77"/>
      <c r="S25" s="77"/>
      <c r="T25" s="77"/>
      <c r="U25" s="33"/>
      <c r="V25" s="33"/>
      <c r="W25" s="33"/>
      <c r="X25" s="33"/>
      <c r="Y25" s="33"/>
      <c r="Z25" s="33"/>
    </row>
    <row r="26" spans="1:26" ht="62.5" x14ac:dyDescent="0.25">
      <c r="A26" s="84" t="s">
        <v>53</v>
      </c>
      <c r="B26" s="29" t="s">
        <v>26</v>
      </c>
      <c r="C26" s="38" t="s">
        <v>88</v>
      </c>
      <c r="D26" s="43" t="str">
        <f>HYPERLINK("https://www.nejm.org/coronavirus","Coronavirus (Covid-19) Topic Page")</f>
        <v>Coronavirus (Covid-19) Topic Page</v>
      </c>
      <c r="E26" s="31" t="s">
        <v>15</v>
      </c>
      <c r="F26" s="38" t="s">
        <v>89</v>
      </c>
      <c r="G26" s="37" t="s">
        <v>19</v>
      </c>
      <c r="H26" s="32" t="str">
        <f ca="1">VLOOKUP($A26,'ICOLC Public View Feed'!$A$1:$G$96, 6, FALSE)</f>
        <v>https://www.nejmgroup.org/legal/privacy-policy.htm?query=footer</v>
      </c>
      <c r="I26" s="78"/>
      <c r="J26" s="78"/>
      <c r="K26" s="78"/>
      <c r="L26" s="78"/>
      <c r="M26" s="78"/>
      <c r="N26" s="78"/>
      <c r="O26" s="78"/>
      <c r="P26" s="78"/>
      <c r="Q26" s="78"/>
      <c r="R26" s="78"/>
      <c r="S26" s="78"/>
      <c r="T26" s="78"/>
      <c r="U26" s="41"/>
      <c r="V26" s="41"/>
      <c r="W26" s="41"/>
      <c r="X26" s="41"/>
      <c r="Y26" s="41"/>
      <c r="Z26" s="41"/>
    </row>
    <row r="27" spans="1:26" ht="25" x14ac:dyDescent="0.25">
      <c r="A27" s="84" t="s">
        <v>54</v>
      </c>
      <c r="B27" s="29" t="s">
        <v>26</v>
      </c>
      <c r="C27" s="62" t="s">
        <v>90</v>
      </c>
      <c r="D27" s="36" t="s">
        <v>91</v>
      </c>
      <c r="E27" s="31" t="s">
        <v>11</v>
      </c>
      <c r="F27" s="38"/>
      <c r="G27" s="37" t="s">
        <v>19</v>
      </c>
      <c r="H27" s="39" t="str">
        <f ca="1">VLOOKUP($A27,'ICOLC Public View Feed'!$A$1:$G$96, 6, FALSE)</f>
        <v/>
      </c>
      <c r="I27" s="78"/>
      <c r="J27" s="78"/>
      <c r="K27" s="78"/>
      <c r="L27" s="78"/>
      <c r="M27" s="78"/>
      <c r="N27" s="78"/>
      <c r="O27" s="78"/>
      <c r="P27" s="78"/>
      <c r="Q27" s="78"/>
      <c r="R27" s="78"/>
      <c r="S27" s="78"/>
      <c r="T27" s="78"/>
      <c r="U27" s="41"/>
      <c r="V27" s="41"/>
      <c r="W27" s="41"/>
      <c r="X27" s="41"/>
      <c r="Y27" s="41"/>
      <c r="Z27" s="41"/>
    </row>
    <row r="28" spans="1:26" ht="37.5" x14ac:dyDescent="0.25">
      <c r="A28" s="84" t="s">
        <v>55</v>
      </c>
      <c r="B28" s="29" t="s">
        <v>2</v>
      </c>
      <c r="C28" s="38" t="s">
        <v>66</v>
      </c>
      <c r="D28" s="43" t="str">
        <f>HYPERLINK("https://kb.osu.edu/handle/1811/131/discover?filtertype_1=type&amp;filter_relational_operator_1=equals&amp;filter_1=Book&amp;rpp=10&amp;sort_by=dc.date.issued_dt&amp;order=desc&amp;grid-layout=0","OSU Press Monographs")</f>
        <v>OSU Press Monographs</v>
      </c>
      <c r="E28" s="31" t="s">
        <v>15</v>
      </c>
      <c r="F28" s="38" t="s">
        <v>67</v>
      </c>
      <c r="G28" s="37" t="s">
        <v>68</v>
      </c>
      <c r="H28" s="39" t="str">
        <f ca="1">VLOOKUP($A28,'ICOLC Public View Feed'!$A$1:$G$96, 6, FALSE)</f>
        <v/>
      </c>
      <c r="I28" s="77"/>
      <c r="J28" s="77"/>
      <c r="K28" s="77"/>
      <c r="L28" s="77"/>
      <c r="M28" s="77"/>
      <c r="N28" s="77"/>
      <c r="O28" s="77"/>
      <c r="P28" s="77"/>
      <c r="Q28" s="77"/>
      <c r="R28" s="77"/>
      <c r="S28" s="77"/>
      <c r="T28" s="77"/>
      <c r="U28" s="33"/>
      <c r="V28" s="33"/>
      <c r="W28" s="33"/>
      <c r="X28" s="33"/>
      <c r="Y28" s="33"/>
      <c r="Z28" s="33"/>
    </row>
    <row r="29" spans="1:26" ht="37.5" x14ac:dyDescent="0.25">
      <c r="A29" s="84" t="s">
        <v>56</v>
      </c>
      <c r="B29" s="38" t="s">
        <v>26</v>
      </c>
      <c r="C29" s="43" t="str">
        <f>HYPERLINK("https://academic.oup.com/journals/pages/coronavirus","1700+ of 2200+ Coronavirus articles made freely available in response to the pandemic; link to ~50+ list of the most pertinent resources")</f>
        <v>1700+ of 2200+ Coronavirus articles made freely available in response to the pandemic; link to ~50+ list of the most pertinent resources</v>
      </c>
      <c r="D29" s="43" t="str">
        <f>HYPERLINK("https://academic.oup.com/journals/search-results?q=coronavirus&amp;fl_SiteID=5567&amp;SearchSourceType=1&amp;allJournals=1&amp;sort=Date+%e2%80%93+Newest+First&amp;access_free=true&amp;access_unlocked=true&amp;access_openaccess=true","2500+ Oxford-hosted freely available journal articles related to corona virus ")</f>
        <v xml:space="preserve">2500+ Oxford-hosted freely available journal articles related to corona virus </v>
      </c>
      <c r="E29" s="31" t="s">
        <v>15</v>
      </c>
      <c r="F29" s="38"/>
      <c r="G29" s="37" t="s">
        <v>19</v>
      </c>
      <c r="H29" s="32" t="str">
        <f ca="1">VLOOKUP($A29,'ICOLC Public View Feed'!$A$1:$G$96, 6, FALSE)</f>
        <v>https://global.oup.com/booksites/content/9780198846864/</v>
      </c>
      <c r="I29" s="77"/>
      <c r="J29" s="77"/>
      <c r="K29" s="77"/>
      <c r="L29" s="77"/>
      <c r="M29" s="77"/>
      <c r="N29" s="77"/>
      <c r="O29" s="77"/>
      <c r="P29" s="77"/>
      <c r="Q29" s="77"/>
      <c r="R29" s="77"/>
      <c r="S29" s="77"/>
      <c r="T29" s="77"/>
      <c r="U29" s="33"/>
      <c r="V29" s="33"/>
      <c r="W29" s="33"/>
      <c r="X29" s="33"/>
      <c r="Y29" s="33"/>
      <c r="Z29" s="33"/>
    </row>
    <row r="30" spans="1:26" ht="37.5" x14ac:dyDescent="0.25">
      <c r="A30" s="84" t="s">
        <v>57</v>
      </c>
      <c r="B30" s="29" t="s">
        <v>2</v>
      </c>
      <c r="C30" s="43" t="str">
        <f>HYPERLINK("https://about.muse.jhu.edu/resources/freeresourcescovid19/#covid19resources","15K+ books, 230+ Journals variously from 50+ Publishers (and growing)")</f>
        <v>15K+ books, 230+ Journals variously from 50+ Publishers (and growing)</v>
      </c>
      <c r="D30" s="45" t="str">
        <f>HYPERLINK("https://muse.jhu.edu/search?action=browse&amp;limit=subscription:y&amp;limit=format:book,journal&amp;sort=launch%20desc&amp;min=1&amp;max=10&amp;t=format_facet_select","Search MUSE for only content I have access to")</f>
        <v>Search MUSE for only content I have access to</v>
      </c>
      <c r="E30" s="31" t="s">
        <v>15</v>
      </c>
      <c r="F30" s="43" t="str">
        <f>HYPERLINK("https://about.muse.jhu.edu/resources/freeresourcescovid19/","List of (and links by) participating publisher on the Muse platform; KBART and MARC Files Now Avaialble")</f>
        <v>List of (and links by) participating publisher on the Muse platform; KBART and MARC Files Now Avaialble</v>
      </c>
      <c r="G30" s="37" t="s">
        <v>69</v>
      </c>
      <c r="H30" s="39" t="str">
        <f ca="1">VLOOKUP($A30,'ICOLC Public View Feed'!$A$1:$G$96, 6, FALSE)</f>
        <v/>
      </c>
      <c r="I30" s="77"/>
      <c r="J30" s="77"/>
      <c r="K30" s="77"/>
      <c r="L30" s="77"/>
      <c r="M30" s="77"/>
      <c r="N30" s="77"/>
      <c r="O30" s="77"/>
      <c r="P30" s="77"/>
      <c r="Q30" s="77"/>
      <c r="R30" s="77"/>
      <c r="S30" s="77"/>
      <c r="T30" s="77"/>
      <c r="U30" s="33"/>
      <c r="V30" s="33"/>
      <c r="W30" s="33"/>
      <c r="X30" s="33"/>
      <c r="Y30" s="33"/>
      <c r="Z30" s="33"/>
    </row>
    <row r="31" spans="1:26" ht="25" x14ac:dyDescent="0.25">
      <c r="A31" s="34" t="s">
        <v>12</v>
      </c>
      <c r="B31" s="29" t="s">
        <v>26</v>
      </c>
      <c r="C31" s="38" t="s">
        <v>13</v>
      </c>
      <c r="D31" s="43" t="str">
        <f>HYPERLINK("https://coronavirus.ravenpack.com/","Coronavirus News Monitor")</f>
        <v>Coronavirus News Monitor</v>
      </c>
      <c r="E31" s="31" t="s">
        <v>15</v>
      </c>
      <c r="F31" s="38" t="s">
        <v>16</v>
      </c>
      <c r="G31" s="53" t="s">
        <v>19</v>
      </c>
      <c r="H31" s="32" t="str">
        <f ca="1">VLOOKUP($A31,'ICOLC Public View Feed'!$A$1:$G$96, 6, FALSE)</f>
        <v>https://www.ravenpack.com/privacy/</v>
      </c>
      <c r="I31" s="77"/>
      <c r="J31" s="77"/>
      <c r="K31" s="77"/>
      <c r="L31" s="77"/>
      <c r="M31" s="77"/>
      <c r="N31" s="77"/>
      <c r="O31" s="77"/>
      <c r="P31" s="77"/>
      <c r="Q31" s="77"/>
      <c r="R31" s="77"/>
      <c r="S31" s="77"/>
      <c r="T31" s="77"/>
      <c r="U31" s="33"/>
      <c r="V31" s="33"/>
      <c r="W31" s="33"/>
      <c r="X31" s="33"/>
      <c r="Y31" s="33"/>
      <c r="Z31" s="33"/>
    </row>
    <row r="32" spans="1:26" ht="25" x14ac:dyDescent="0.25">
      <c r="A32" s="34" t="s">
        <v>58</v>
      </c>
      <c r="B32" s="29" t="s">
        <v>2</v>
      </c>
      <c r="C32" s="38" t="s">
        <v>70</v>
      </c>
      <c r="D32" s="43" t="str">
        <f>HYPERLINK("https://royalsociety.org/journals/#listing","Full listing of The Royal Society's journals")</f>
        <v>Full listing of The Royal Society's journals</v>
      </c>
      <c r="E32" s="31" t="s">
        <v>15</v>
      </c>
      <c r="F32" s="43" t="str">
        <f>HYPERLINK("https://docs.google.com/spreadsheets/d/1xiINlF9P00tO-5lGKi3v4S413iujYCm5QJoKUG19a_Y/edit?disco=AAAAJPpqktY","See also COVID19 resources from Royal Society Publishing in that resource category below ")</f>
        <v xml:space="preserve">See also COVID19 resources from Royal Society Publishing in that resource category below </v>
      </c>
      <c r="G32" s="37" t="s">
        <v>19</v>
      </c>
      <c r="H32" s="32" t="str">
        <f ca="1">VLOOKUP($A32,'ICOLC Public View Feed'!$A$1:$G$96, 6, FALSE)</f>
        <v>https://royalsociety.org/about-us/terms-conditions-policies/cookies/</v>
      </c>
      <c r="I32" s="77"/>
      <c r="J32" s="77"/>
      <c r="K32" s="77"/>
      <c r="L32" s="77"/>
      <c r="M32" s="77"/>
      <c r="N32" s="77"/>
      <c r="O32" s="77"/>
      <c r="P32" s="77"/>
      <c r="Q32" s="77"/>
      <c r="R32" s="77"/>
      <c r="S32" s="77"/>
      <c r="T32" s="77"/>
      <c r="U32" s="33"/>
      <c r="V32" s="33"/>
      <c r="W32" s="33"/>
      <c r="X32" s="33"/>
      <c r="Y32" s="33"/>
      <c r="Z32" s="33"/>
    </row>
    <row r="33" spans="1:26" ht="37.5" customHeight="1" x14ac:dyDescent="0.3">
      <c r="A33" s="34" t="s">
        <v>58</v>
      </c>
      <c r="B33" s="29" t="s">
        <v>26</v>
      </c>
      <c r="C33" s="64" t="str">
        <f>HYPERLINK("https://blogs.royalsociety.org/publishing/covid-19-pandemic-royal-society-publishing-service/","30+ Articles on research findings and data relevant to the covid-19 pandemic, plus 12+ issues on related themes")</f>
        <v>30+ Articles on research findings and data relevant to the covid-19 pandemic, plus 12+ issues on related themes</v>
      </c>
      <c r="D33" s="45" t="str">
        <f>HYPERLINK("https://royalsocietypublishing.org/topic/special-collections/novel-coronavirus-outbreak","List of articles and journal issues on COVID related themes")</f>
        <v>List of articles and journal issues on COVID related themes</v>
      </c>
      <c r="E33" s="31" t="s">
        <v>15</v>
      </c>
      <c r="F33" s="38"/>
      <c r="G33" s="37" t="s">
        <v>19</v>
      </c>
      <c r="H33" s="32" t="str">
        <f ca="1">VLOOKUP($A33,'ICOLC Public View Feed'!$A$1:$G$96, 6, FALSE)</f>
        <v>https://royalsociety.org/about-us/terms-conditions-policies/cookies/</v>
      </c>
      <c r="I33" s="77"/>
      <c r="J33" s="77"/>
      <c r="K33" s="77"/>
      <c r="L33" s="77"/>
      <c r="M33" s="77"/>
      <c r="N33" s="77"/>
      <c r="O33" s="77"/>
      <c r="P33" s="77"/>
      <c r="Q33" s="77"/>
      <c r="R33" s="77"/>
      <c r="S33" s="77"/>
      <c r="T33" s="77"/>
      <c r="U33" s="33"/>
      <c r="V33" s="33"/>
      <c r="W33" s="33"/>
      <c r="X33" s="33"/>
      <c r="Y33" s="33"/>
      <c r="Z33" s="33"/>
    </row>
    <row r="34" spans="1:26" ht="50" x14ac:dyDescent="0.25">
      <c r="A34" s="34" t="s">
        <v>59</v>
      </c>
      <c r="B34" s="29" t="s">
        <v>2</v>
      </c>
      <c r="C34" s="48" t="str">
        <f>HYPERLINK("https://us.sagepub.com/en-us/nam/remote-learning-solutions","SAGE Video, SAGE Research Methods Video and SAGE Knowledge Books &amp; Reference; online access to SAGE Journals for print-only subscribers")</f>
        <v>SAGE Video, SAGE Research Methods Video and SAGE Knowledge Books &amp; Reference; online access to SAGE Journals for print-only subscribers</v>
      </c>
      <c r="D34" s="43" t="str">
        <f>HYPERLINK("http://sagevideo.sagepub.com/support/tickets/new","Signup")</f>
        <v>Signup</v>
      </c>
      <c r="E34" s="31" t="s">
        <v>11</v>
      </c>
      <c r="F34" s="43" t="str">
        <f>HYPERLINK("http://freetrials.sagepub.com/","Alternatively, this cell links to a (Faculty) sign up for a username &amp; password trial (90 Days) | [See also SAGE entries under courseware and COVID19 Research] ")</f>
        <v xml:space="preserve">Alternatively, this cell links to a (Faculty) sign up for a username &amp; password trial (90 Days) | [See also SAGE entries under courseware and COVID19 Research] </v>
      </c>
      <c r="G34" s="37" t="s">
        <v>32</v>
      </c>
      <c r="H34" s="39" t="str">
        <f ca="1">VLOOKUP($A34,'ICOLC Public View Feed'!$A$1:$G$96, 6, FALSE)</f>
        <v/>
      </c>
      <c r="I34" s="77"/>
      <c r="J34" s="77"/>
      <c r="K34" s="77"/>
      <c r="L34" s="77"/>
      <c r="M34" s="77"/>
      <c r="N34" s="77"/>
      <c r="O34" s="77"/>
      <c r="P34" s="77"/>
      <c r="Q34" s="77"/>
      <c r="R34" s="77"/>
      <c r="S34" s="77"/>
      <c r="T34" s="77"/>
      <c r="U34" s="33"/>
      <c r="V34" s="33"/>
      <c r="W34" s="33"/>
      <c r="X34" s="33"/>
      <c r="Y34" s="33"/>
      <c r="Z34" s="33"/>
    </row>
    <row r="35" spans="1:26" ht="37.5" x14ac:dyDescent="0.25">
      <c r="A35" s="34" t="s">
        <v>59</v>
      </c>
      <c r="B35" s="29" t="s">
        <v>26</v>
      </c>
      <c r="C35" s="38" t="s">
        <v>92</v>
      </c>
      <c r="D35" s="43" t="str">
        <f>HYPERLINK(" https://journals.sagepub.com/coronavirus","curated collection of both medical and social and behavioral science related to the virus and more broadly on managing pandemic")</f>
        <v>curated collection of both medical and social and behavioral science related to the virus and more broadly on managing pandemic</v>
      </c>
      <c r="E35" s="31" t="s">
        <v>15</v>
      </c>
      <c r="F35" s="38" t="s">
        <v>93</v>
      </c>
      <c r="G35" s="37" t="s">
        <v>19</v>
      </c>
      <c r="H35" s="39" t="str">
        <f ca="1">VLOOKUP($A35,'ICOLC Public View Feed'!$A$1:$G$96, 6, FALSE)</f>
        <v/>
      </c>
      <c r="I35" s="77"/>
      <c r="J35" s="77"/>
      <c r="K35" s="77"/>
      <c r="L35" s="77"/>
      <c r="M35" s="77"/>
      <c r="N35" s="77"/>
      <c r="O35" s="77"/>
      <c r="P35" s="77"/>
      <c r="Q35" s="77"/>
      <c r="R35" s="77"/>
      <c r="S35" s="77"/>
      <c r="T35" s="77"/>
      <c r="U35" s="33"/>
      <c r="V35" s="33"/>
      <c r="W35" s="33"/>
      <c r="X35" s="33"/>
      <c r="Y35" s="33"/>
      <c r="Z35" s="33"/>
    </row>
    <row r="36" spans="1:26" ht="50" x14ac:dyDescent="0.25">
      <c r="A36" s="34" t="s">
        <v>59</v>
      </c>
      <c r="B36" s="29" t="s">
        <v>40</v>
      </c>
      <c r="C36" s="38" t="s">
        <v>102</v>
      </c>
      <c r="D36" s="70" t="str">
        <f>HYPERLINK("https://sagepub.com/remote-teaching-solutions","US teaching materials")</f>
        <v>US teaching materials</v>
      </c>
      <c r="E36" s="31" t="s">
        <v>11</v>
      </c>
      <c r="F36" s="38" t="s">
        <v>103</v>
      </c>
      <c r="G36" s="37" t="s">
        <v>32</v>
      </c>
      <c r="H36" s="39" t="str">
        <f ca="1">VLOOKUP($A36,'ICOLC Public View Feed'!$A$1:$G$96, 6, FALSE)</f>
        <v/>
      </c>
      <c r="I36" s="77"/>
      <c r="J36" s="77"/>
      <c r="K36" s="77"/>
      <c r="L36" s="77"/>
      <c r="M36" s="77"/>
      <c r="N36" s="77"/>
      <c r="O36" s="77"/>
      <c r="P36" s="77"/>
      <c r="Q36" s="77"/>
      <c r="R36" s="77"/>
      <c r="S36" s="77"/>
      <c r="T36" s="77"/>
      <c r="U36" s="33"/>
      <c r="V36" s="33"/>
      <c r="W36" s="33"/>
      <c r="X36" s="33"/>
      <c r="Y36" s="33"/>
      <c r="Z36" s="33"/>
    </row>
    <row r="37" spans="1:26" ht="42" customHeight="1" x14ac:dyDescent="0.25">
      <c r="A37" s="34" t="s">
        <v>60</v>
      </c>
      <c r="B37" s="29" t="s">
        <v>26</v>
      </c>
      <c r="C37" s="29" t="s">
        <v>94</v>
      </c>
      <c r="D37" s="63" t="str">
        <f>HYPERLINK("https://www.springernature.com/gp/researchers/campaigns/coronavirus","SARS-CoV2 and COVID-19")</f>
        <v>SARS-CoV2 and COVID-19</v>
      </c>
      <c r="E37" s="31" t="s">
        <v>15</v>
      </c>
      <c r="F37" s="29" t="s">
        <v>95</v>
      </c>
      <c r="G37" s="31" t="s">
        <v>19</v>
      </c>
      <c r="H37" s="32" t="str">
        <f ca="1">VLOOKUP($A37,'ICOLC Public View Feed'!$A$1:$G$96, 6, FALSE)</f>
        <v>https://www.springernature.com/la/legal/privacy-statement/11033522</v>
      </c>
      <c r="I37" s="77"/>
      <c r="J37" s="77"/>
      <c r="K37" s="77"/>
      <c r="L37" s="77"/>
      <c r="M37" s="77"/>
      <c r="N37" s="77"/>
      <c r="O37" s="77"/>
      <c r="P37" s="77"/>
      <c r="Q37" s="77"/>
      <c r="R37" s="77"/>
      <c r="S37" s="77"/>
      <c r="T37" s="77"/>
      <c r="U37" s="33"/>
      <c r="V37" s="33"/>
      <c r="W37" s="33"/>
      <c r="X37" s="33"/>
      <c r="Y37" s="33"/>
      <c r="Z37" s="33"/>
    </row>
    <row r="38" spans="1:26" ht="37.5" x14ac:dyDescent="0.25">
      <c r="A38" s="34" t="s">
        <v>61</v>
      </c>
      <c r="B38" s="29" t="s">
        <v>26</v>
      </c>
      <c r="C38" s="43" t="str">
        <f>HYPERLINK("https://newsroom.taylorandfrancisgroup.com/coronavirus-reading-list/","Collection of 1400+ articles matching 'Coronavirus', 1150+ of which have been made open in response to the pandemic")</f>
        <v>Collection of 1400+ articles matching 'Coronavirus', 1150+ of which have been made open in response to the pandemic</v>
      </c>
      <c r="D38" s="43" t="str">
        <f>HYPERLINK("https://www.tandfonline.com/action/doSearch?AllField=%22coronavirus%22&amp;content=standard&amp;countTerms=true&amp;target=default&amp;startPage=0&amp;pageSize=10&amp;access=user","Link to articles on Taylor and Francis online")</f>
        <v>Link to articles on Taylor and Francis online</v>
      </c>
      <c r="E38" s="31" t="s">
        <v>15</v>
      </c>
      <c r="F38" s="38"/>
      <c r="G38" s="37" t="s">
        <v>73</v>
      </c>
      <c r="H38" s="32" t="str">
        <f ca="1">VLOOKUP($A38,'ICOLC Public View Feed'!$A$1:$G$96, 6, FALSE)</f>
        <v>https://informa.com/privacy-policy/</v>
      </c>
      <c r="I38" s="77"/>
      <c r="J38" s="77"/>
      <c r="K38" s="77"/>
      <c r="L38" s="77"/>
      <c r="M38" s="77"/>
      <c r="N38" s="77"/>
      <c r="O38" s="77"/>
      <c r="P38" s="77"/>
      <c r="Q38" s="77"/>
      <c r="R38" s="77"/>
      <c r="S38" s="77"/>
      <c r="T38" s="77"/>
      <c r="U38" s="33"/>
      <c r="V38" s="33"/>
      <c r="W38" s="33"/>
      <c r="X38" s="33"/>
      <c r="Y38" s="33"/>
      <c r="Z38" s="33"/>
    </row>
    <row r="39" spans="1:26" ht="25" x14ac:dyDescent="0.25">
      <c r="A39" s="34" t="s">
        <v>62</v>
      </c>
      <c r="B39" s="29" t="s">
        <v>2</v>
      </c>
      <c r="C39" s="43" t="str">
        <f>HYPERLINK("https://www.ucpress.edu/blog/49700/free-access-to-all-uc-press-journals-through-june-2020/","All online journal content: 46 journals in the humanities, social sciences, and natural sciences")</f>
        <v>All online journal content: 46 journals in the humanities, social sciences, and natural sciences</v>
      </c>
      <c r="D39" s="43" t="str">
        <f>HYPERLINK("https://www.ucpress.edu/journals","Browse journals")</f>
        <v>Browse journals</v>
      </c>
      <c r="E39" s="31" t="s">
        <v>15</v>
      </c>
      <c r="F39" s="38"/>
      <c r="G39" s="47">
        <v>44012</v>
      </c>
      <c r="H39" s="32" t="str">
        <f ca="1">VLOOKUP($A39,'ICOLC Public View Feed'!$A$1:$G$96, 6, FALSE)</f>
        <v>https://www.ucpress.edu/about/privacy-policy</v>
      </c>
      <c r="I39" s="78"/>
      <c r="J39" s="78"/>
      <c r="K39" s="78"/>
      <c r="L39" s="78"/>
      <c r="M39" s="78"/>
      <c r="N39" s="78"/>
      <c r="O39" s="78"/>
      <c r="P39" s="78"/>
      <c r="Q39" s="78"/>
      <c r="R39" s="78"/>
      <c r="S39" s="78"/>
      <c r="T39" s="78"/>
      <c r="U39" s="41"/>
      <c r="V39" s="41"/>
      <c r="W39" s="41"/>
      <c r="X39" s="41"/>
      <c r="Y39" s="41"/>
      <c r="Z39" s="41"/>
    </row>
    <row r="40" spans="1:26" ht="25.5" x14ac:dyDescent="0.25">
      <c r="A40" s="34" t="s">
        <v>63</v>
      </c>
      <c r="B40" s="29" t="s">
        <v>2</v>
      </c>
      <c r="C40" s="51" t="str">
        <f>HYPERLINK("https://blog.press.umich.edu/2020/03/ump-covid-19-free-access/","All content (1150+ Books) in the University of Michigan Press Ebook Collection (UMP EBC)")</f>
        <v>All content (1150+ Books) in the University of Michigan Press Ebook Collection (UMP EBC)</v>
      </c>
      <c r="D40" s="51" t="str">
        <f>HYPERLINK("https://www.fulcrum.org/michigan?locale=en&amp;view=gallery","UMP EBC")</f>
        <v>UMP EBC</v>
      </c>
      <c r="E40" s="31" t="s">
        <v>15</v>
      </c>
      <c r="F40" s="38" t="s">
        <v>71</v>
      </c>
      <c r="G40" s="47">
        <v>43951</v>
      </c>
      <c r="H40" s="39" t="str">
        <f ca="1">VLOOKUP($A40,'ICOLC Public View Feed'!$A$1:$G$96, 6, FALSE)</f>
        <v/>
      </c>
      <c r="I40" s="77"/>
      <c r="J40" s="77"/>
      <c r="K40" s="77"/>
      <c r="L40" s="77"/>
      <c r="M40" s="77"/>
      <c r="N40" s="77"/>
      <c r="O40" s="77"/>
      <c r="P40" s="77"/>
      <c r="Q40" s="77"/>
      <c r="R40" s="77"/>
      <c r="S40" s="77"/>
      <c r="T40" s="77"/>
      <c r="U40" s="33"/>
      <c r="V40" s="33"/>
      <c r="W40" s="33"/>
      <c r="X40" s="33"/>
      <c r="Y40" s="33"/>
      <c r="Z40" s="33"/>
    </row>
    <row r="41" spans="1:26" ht="37.5" x14ac:dyDescent="0.25">
      <c r="A41" s="34" t="s">
        <v>64</v>
      </c>
      <c r="B41" s="29" t="s">
        <v>26</v>
      </c>
      <c r="C41" s="65" t="str">
        <f>HYPERLINK("https://novel-coronavirus.onlinelibrary.wiley.com/","More than 5,300 Coronavirus-related articles and book chapters on Wiley Online")</f>
        <v>More than 5,300 Coronavirus-related articles and book chapters on Wiley Online</v>
      </c>
      <c r="D41" s="66" t="str">
        <f>HYPERLINK("https://onlinelibrary.wiley.com/action/doSearch?AllField=coronavirus*+OR+%22sars-cov+2%22+OR+%22covid+19%22+OR+%222019-ncov%22&amp;pageSize=20&amp;sortBy=Earliest&amp;startPage=&amp;PubType=journal","Link to journal articles (filter by 'Books' to see book chapters")</f>
        <v>Link to journal articles (filter by 'Books' to see book chapters</v>
      </c>
      <c r="E41" s="31" t="s">
        <v>15</v>
      </c>
      <c r="F41" s="63" t="str">
        <f>HYPERLINK("https://www.scitrus.com/special/novel%20coronavirus%20outbreak","Also includes a link to Atypon-powered Scitrus, a free, real-time feed of the latest research and news on COVID-19")</f>
        <v>Also includes a link to Atypon-powered Scitrus, a free, real-time feed of the latest research and news on COVID-19</v>
      </c>
      <c r="G41" s="31" t="s">
        <v>19</v>
      </c>
      <c r="H41" s="32" t="str">
        <f ca="1">VLOOKUP($A41,'ICOLC Public View Feed'!$A$1:$G$96, 6, FALSE)</f>
        <v>https://www.wiley-vch.de/en/info/contact-masthead</v>
      </c>
      <c r="I41" s="77"/>
      <c r="J41" s="77"/>
      <c r="K41" s="77"/>
      <c r="L41" s="77"/>
      <c r="M41" s="77"/>
      <c r="N41" s="77"/>
      <c r="O41" s="77"/>
      <c r="P41" s="77"/>
      <c r="Q41" s="77"/>
      <c r="R41" s="77"/>
      <c r="S41" s="77"/>
      <c r="T41" s="77"/>
      <c r="U41" s="33"/>
      <c r="V41" s="33"/>
      <c r="W41" s="33"/>
      <c r="X41" s="33"/>
      <c r="Y41" s="33"/>
      <c r="Z41" s="33"/>
    </row>
    <row r="42" spans="1:26" ht="37.5" x14ac:dyDescent="0.25">
      <c r="A42" s="71" t="s">
        <v>64</v>
      </c>
      <c r="B42" s="29" t="s">
        <v>40</v>
      </c>
      <c r="C42" s="72" t="str">
        <f>HYPERLINK("https://newsroom.wiley.com/press-release/all-corporate-news/wiley-opens-access-support-educators-researchers-professionals-amid?elq_mid=43423&amp;elq_cid=16633593-Customer%20%28covering%20AT%29%20Impacted%20by%20Coronavirus_202003_W9Z2J","Support for educators (and more)")</f>
        <v>Support for educators (and more)</v>
      </c>
      <c r="D42" s="63" t="str">
        <f>HYPERLINK("https://secure.wiley.com/COVID19OpenWPAccess","Form for faculty to request access to online learning solutions, WileyPLUS or Knewton Alta")</f>
        <v>Form for faculty to request access to online learning solutions, WileyPLUS or Knewton Alta</v>
      </c>
      <c r="E42" s="31" t="s">
        <v>11</v>
      </c>
      <c r="F42" s="29" t="s">
        <v>104</v>
      </c>
      <c r="G42" s="31" t="s">
        <v>98</v>
      </c>
      <c r="H42" s="73" t="str">
        <f ca="1">VLOOKUP($A42,'ICOLC Public View Feed'!$A$1:$G$96, 6, FALSE)</f>
        <v>https://www.wiley-vch.de/en/info/contact-masthead</v>
      </c>
      <c r="I42" s="77"/>
      <c r="J42" s="77"/>
      <c r="K42" s="77"/>
      <c r="L42" s="77"/>
      <c r="M42" s="77"/>
      <c r="N42" s="77"/>
      <c r="O42" s="77"/>
      <c r="P42" s="77"/>
      <c r="Q42" s="77"/>
      <c r="R42" s="77"/>
      <c r="S42" s="77"/>
      <c r="T42" s="77"/>
      <c r="U42" s="33"/>
      <c r="V42" s="33"/>
      <c r="W42" s="33"/>
      <c r="X42" s="33"/>
      <c r="Y42" s="33"/>
      <c r="Z42" s="33"/>
    </row>
    <row r="43" spans="1:26" ht="62.5" x14ac:dyDescent="0.25">
      <c r="A43" s="34" t="s">
        <v>65</v>
      </c>
      <c r="B43" s="29" t="s">
        <v>26</v>
      </c>
      <c r="C43" s="38" t="s">
        <v>96</v>
      </c>
      <c r="D43" s="67" t="str">
        <f>HYPERLINK("http://healthclarity.wolterskluwer.com/coronavirus-resources.html","Wolters Kluwer COVID-19 (Coronavirus) Resources including Ovid and UptoDate")</f>
        <v>Wolters Kluwer COVID-19 (Coronavirus) Resources including Ovid and UptoDate</v>
      </c>
      <c r="E43" s="31" t="s">
        <v>15</v>
      </c>
      <c r="F43" s="38" t="s">
        <v>97</v>
      </c>
      <c r="G43" s="37" t="s">
        <v>19</v>
      </c>
      <c r="H43" s="68" t="str">
        <f ca="1">VLOOKUP($A43,'ICOLC Public View Feed'!$A$1:$G$96, 6, FALSE)</f>
        <v>https://wolterskluwer.com/privacy-cookies.html</v>
      </c>
      <c r="I43" s="78"/>
      <c r="J43" s="78"/>
      <c r="K43" s="78"/>
      <c r="L43" s="78"/>
      <c r="M43" s="78"/>
      <c r="N43" s="78"/>
      <c r="O43" s="78"/>
      <c r="P43" s="78"/>
      <c r="Q43" s="78"/>
      <c r="R43" s="78"/>
      <c r="S43" s="78"/>
      <c r="T43" s="78"/>
      <c r="U43" s="41"/>
      <c r="V43" s="41"/>
      <c r="W43" s="41"/>
      <c r="X43" s="41"/>
      <c r="Y43" s="41"/>
      <c r="Z43" s="41"/>
    </row>
    <row r="44" spans="1:26" ht="37.5" x14ac:dyDescent="0.25">
      <c r="A44" s="88" t="s">
        <v>108</v>
      </c>
      <c r="B44" s="62"/>
      <c r="C44" s="62"/>
      <c r="D44" s="62"/>
      <c r="E44" s="74"/>
      <c r="F44" s="62"/>
      <c r="G44" s="74"/>
      <c r="H44" s="75"/>
    </row>
    <row r="45" spans="1:26" ht="12.5" x14ac:dyDescent="0.25">
      <c r="A45" s="62"/>
      <c r="B45" s="62"/>
      <c r="C45" s="62"/>
      <c r="D45" s="62"/>
      <c r="E45" s="74"/>
      <c r="F45" s="62"/>
      <c r="G45" s="74"/>
      <c r="H45" s="75"/>
    </row>
    <row r="46" spans="1:26" ht="12.5" x14ac:dyDescent="0.25">
      <c r="A46" s="62"/>
      <c r="B46" s="62"/>
      <c r="C46" s="62"/>
      <c r="D46" s="62"/>
      <c r="E46" s="74"/>
      <c r="F46" s="62"/>
      <c r="G46" s="74"/>
      <c r="H46" s="75"/>
    </row>
    <row r="47" spans="1:26" ht="12.5" x14ac:dyDescent="0.25">
      <c r="A47" s="62"/>
      <c r="B47" s="62"/>
      <c r="C47" s="62"/>
      <c r="D47" s="62"/>
      <c r="E47" s="74"/>
      <c r="F47" s="62"/>
      <c r="G47" s="74"/>
      <c r="H47" s="75"/>
    </row>
    <row r="48" spans="1:26" ht="12.5" x14ac:dyDescent="0.25">
      <c r="A48" s="62"/>
      <c r="B48" s="62"/>
      <c r="C48" s="62"/>
      <c r="D48" s="62"/>
      <c r="E48" s="74"/>
      <c r="F48" s="62"/>
      <c r="G48" s="74"/>
      <c r="H48" s="75"/>
    </row>
    <row r="49" spans="1:8" ht="12.5" x14ac:dyDescent="0.25">
      <c r="A49" s="62"/>
      <c r="B49" s="62"/>
      <c r="C49" s="62"/>
      <c r="D49" s="62"/>
      <c r="E49" s="74"/>
      <c r="F49" s="62"/>
      <c r="G49" s="74"/>
      <c r="H49" s="75"/>
    </row>
    <row r="50" spans="1:8" ht="12.5" x14ac:dyDescent="0.25">
      <c r="A50" s="62"/>
      <c r="B50" s="62"/>
      <c r="C50" s="62"/>
      <c r="D50" s="62"/>
      <c r="E50" s="74"/>
      <c r="F50" s="62"/>
      <c r="G50" s="74"/>
      <c r="H50" s="75"/>
    </row>
    <row r="51" spans="1:8" ht="12.5" x14ac:dyDescent="0.25">
      <c r="A51" s="62"/>
      <c r="B51" s="62"/>
      <c r="C51" s="62"/>
      <c r="D51" s="62"/>
      <c r="E51" s="74"/>
      <c r="F51" s="62"/>
      <c r="G51" s="74"/>
      <c r="H51" s="75"/>
    </row>
    <row r="52" spans="1:8" ht="12.5" x14ac:dyDescent="0.25">
      <c r="A52" s="62"/>
      <c r="B52" s="62"/>
      <c r="C52" s="62"/>
      <c r="D52" s="62"/>
      <c r="E52" s="74"/>
      <c r="F52" s="62"/>
      <c r="G52" s="74"/>
      <c r="H52" s="75"/>
    </row>
    <row r="53" spans="1:8" ht="12.5" x14ac:dyDescent="0.25">
      <c r="A53" s="62"/>
      <c r="B53" s="62"/>
      <c r="C53" s="62"/>
      <c r="D53" s="62"/>
      <c r="E53" s="74"/>
      <c r="F53" s="62"/>
      <c r="G53" s="74"/>
      <c r="H53" s="75"/>
    </row>
    <row r="54" spans="1:8" ht="12.5" x14ac:dyDescent="0.25">
      <c r="A54" s="62"/>
      <c r="B54" s="62"/>
      <c r="C54" s="62"/>
      <c r="D54" s="62"/>
      <c r="E54" s="74"/>
      <c r="F54" s="62"/>
      <c r="G54" s="74"/>
      <c r="H54" s="75"/>
    </row>
    <row r="55" spans="1:8" ht="12.5" x14ac:dyDescent="0.25">
      <c r="A55" s="62"/>
      <c r="B55" s="62"/>
      <c r="C55" s="62"/>
      <c r="D55" s="62"/>
      <c r="E55" s="74"/>
      <c r="F55" s="62"/>
      <c r="G55" s="74"/>
      <c r="H55" s="75"/>
    </row>
    <row r="56" spans="1:8" ht="12.5" x14ac:dyDescent="0.25">
      <c r="A56" s="62"/>
      <c r="B56" s="62"/>
      <c r="C56" s="62"/>
      <c r="D56" s="62"/>
      <c r="E56" s="74"/>
      <c r="F56" s="62"/>
      <c r="G56" s="74"/>
      <c r="H56" s="75"/>
    </row>
    <row r="57" spans="1:8" ht="12.5" x14ac:dyDescent="0.25">
      <c r="A57" s="62"/>
      <c r="B57" s="62"/>
      <c r="C57" s="62"/>
      <c r="D57" s="62"/>
      <c r="E57" s="74"/>
      <c r="F57" s="62"/>
      <c r="G57" s="74"/>
      <c r="H57" s="75"/>
    </row>
    <row r="58" spans="1:8" ht="12.5" x14ac:dyDescent="0.25">
      <c r="A58" s="62"/>
      <c r="B58" s="62"/>
      <c r="C58" s="62"/>
      <c r="D58" s="62"/>
      <c r="E58" s="74"/>
      <c r="F58" s="62"/>
      <c r="G58" s="74"/>
      <c r="H58" s="75"/>
    </row>
    <row r="59" spans="1:8" ht="12.5" x14ac:dyDescent="0.25">
      <c r="A59" s="62"/>
      <c r="B59" s="62"/>
      <c r="C59" s="62"/>
      <c r="D59" s="62"/>
      <c r="E59" s="74"/>
      <c r="F59" s="62"/>
      <c r="G59" s="74"/>
      <c r="H59" s="75"/>
    </row>
    <row r="60" spans="1:8" ht="12.5" x14ac:dyDescent="0.25">
      <c r="A60" s="62"/>
      <c r="B60" s="62"/>
      <c r="C60" s="62"/>
      <c r="D60" s="62"/>
      <c r="E60" s="74"/>
      <c r="F60" s="62"/>
      <c r="G60" s="74"/>
      <c r="H60" s="75"/>
    </row>
    <row r="61" spans="1:8" ht="12.5" x14ac:dyDescent="0.25">
      <c r="A61" s="62"/>
      <c r="B61" s="62"/>
      <c r="C61" s="62"/>
      <c r="D61" s="62"/>
      <c r="E61" s="74"/>
      <c r="F61" s="62"/>
      <c r="G61" s="74"/>
      <c r="H61" s="75"/>
    </row>
    <row r="62" spans="1:8" ht="12.5" x14ac:dyDescent="0.25">
      <c r="A62" s="62"/>
      <c r="B62" s="62"/>
      <c r="C62" s="62"/>
      <c r="D62" s="62"/>
      <c r="E62" s="74"/>
      <c r="F62" s="62"/>
      <c r="G62" s="74"/>
      <c r="H62" s="75"/>
    </row>
    <row r="63" spans="1:8" ht="12.5" x14ac:dyDescent="0.25">
      <c r="A63" s="62"/>
      <c r="B63" s="62"/>
      <c r="C63" s="62"/>
      <c r="D63" s="62"/>
      <c r="E63" s="74"/>
      <c r="F63" s="62"/>
      <c r="G63" s="74"/>
      <c r="H63" s="75"/>
    </row>
    <row r="64" spans="1:8" ht="12.5" x14ac:dyDescent="0.25">
      <c r="A64" s="62"/>
      <c r="B64" s="62"/>
      <c r="C64" s="62"/>
      <c r="D64" s="62"/>
      <c r="E64" s="74"/>
      <c r="F64" s="62"/>
      <c r="G64" s="74"/>
      <c r="H64" s="75"/>
    </row>
    <row r="65" spans="1:8" ht="12.5" x14ac:dyDescent="0.25">
      <c r="A65" s="62"/>
      <c r="B65" s="62"/>
      <c r="C65" s="62"/>
      <c r="D65" s="62"/>
      <c r="E65" s="74"/>
      <c r="F65" s="62"/>
      <c r="G65" s="74"/>
      <c r="H65" s="75"/>
    </row>
    <row r="66" spans="1:8" ht="12.5" x14ac:dyDescent="0.25">
      <c r="A66" s="62"/>
      <c r="B66" s="62"/>
      <c r="C66" s="62"/>
      <c r="D66" s="62"/>
      <c r="E66" s="74"/>
      <c r="F66" s="62"/>
      <c r="G66" s="74"/>
      <c r="H66" s="75"/>
    </row>
    <row r="67" spans="1:8" ht="12.5" x14ac:dyDescent="0.25">
      <c r="A67" s="62"/>
      <c r="B67" s="62"/>
      <c r="C67" s="62"/>
      <c r="D67" s="62"/>
      <c r="E67" s="74"/>
      <c r="F67" s="62"/>
      <c r="G67" s="74"/>
      <c r="H67" s="75"/>
    </row>
    <row r="68" spans="1:8" ht="12.5" x14ac:dyDescent="0.25">
      <c r="A68" s="62"/>
      <c r="B68" s="62"/>
      <c r="C68" s="62"/>
      <c r="D68" s="62"/>
      <c r="E68" s="74"/>
      <c r="F68" s="62"/>
      <c r="G68" s="74"/>
      <c r="H68" s="75"/>
    </row>
    <row r="69" spans="1:8" ht="12.5" x14ac:dyDescent="0.25">
      <c r="A69" s="62"/>
      <c r="B69" s="62"/>
      <c r="C69" s="62"/>
      <c r="D69" s="62"/>
      <c r="E69" s="74"/>
      <c r="F69" s="62"/>
      <c r="G69" s="74"/>
      <c r="H69" s="75"/>
    </row>
    <row r="70" spans="1:8" ht="12.5" x14ac:dyDescent="0.25">
      <c r="A70" s="62"/>
      <c r="B70" s="62"/>
      <c r="C70" s="62"/>
      <c r="D70" s="62"/>
      <c r="E70" s="74"/>
      <c r="F70" s="62"/>
      <c r="G70" s="74"/>
      <c r="H70" s="75"/>
    </row>
    <row r="71" spans="1:8" ht="12.5" x14ac:dyDescent="0.25">
      <c r="A71" s="62"/>
      <c r="B71" s="62"/>
      <c r="C71" s="62"/>
      <c r="D71" s="62"/>
      <c r="E71" s="74"/>
      <c r="F71" s="62"/>
      <c r="G71" s="74"/>
      <c r="H71" s="75"/>
    </row>
    <row r="72" spans="1:8" ht="12.5" x14ac:dyDescent="0.25">
      <c r="A72" s="62"/>
      <c r="B72" s="62"/>
      <c r="C72" s="62"/>
      <c r="D72" s="62"/>
      <c r="E72" s="74"/>
      <c r="F72" s="62"/>
      <c r="G72" s="74"/>
      <c r="H72" s="75"/>
    </row>
    <row r="73" spans="1:8" ht="12.5" x14ac:dyDescent="0.25">
      <c r="A73" s="62"/>
      <c r="B73" s="62"/>
      <c r="C73" s="62"/>
      <c r="D73" s="62"/>
      <c r="E73" s="74"/>
      <c r="F73" s="62"/>
      <c r="G73" s="74"/>
      <c r="H73" s="75"/>
    </row>
    <row r="74" spans="1:8" ht="12.5" x14ac:dyDescent="0.25">
      <c r="A74" s="62"/>
      <c r="B74" s="62"/>
      <c r="C74" s="62"/>
      <c r="D74" s="62"/>
      <c r="E74" s="74"/>
      <c r="F74" s="62"/>
      <c r="G74" s="74"/>
      <c r="H74" s="75"/>
    </row>
    <row r="75" spans="1:8" ht="12.5" x14ac:dyDescent="0.25">
      <c r="A75" s="62"/>
      <c r="B75" s="62"/>
      <c r="C75" s="62"/>
      <c r="D75" s="62"/>
      <c r="E75" s="74"/>
      <c r="F75" s="62"/>
      <c r="G75" s="74"/>
      <c r="H75" s="75"/>
    </row>
    <row r="76" spans="1:8" ht="12.5" x14ac:dyDescent="0.25">
      <c r="A76" s="62"/>
      <c r="B76" s="62"/>
      <c r="C76" s="62"/>
      <c r="D76" s="62"/>
      <c r="E76" s="74"/>
      <c r="F76" s="62"/>
      <c r="G76" s="74"/>
      <c r="H76" s="75"/>
    </row>
    <row r="77" spans="1:8" ht="12.5" x14ac:dyDescent="0.25">
      <c r="A77" s="62"/>
      <c r="B77" s="62"/>
      <c r="C77" s="62"/>
      <c r="D77" s="62"/>
      <c r="E77" s="74"/>
      <c r="F77" s="62"/>
      <c r="G77" s="74"/>
      <c r="H77" s="75"/>
    </row>
    <row r="78" spans="1:8" ht="12.5" x14ac:dyDescent="0.25">
      <c r="A78" s="62"/>
      <c r="B78" s="62"/>
      <c r="C78" s="62"/>
      <c r="D78" s="62"/>
      <c r="E78" s="74"/>
      <c r="F78" s="62"/>
      <c r="G78" s="74"/>
      <c r="H78" s="75"/>
    </row>
    <row r="79" spans="1:8" ht="12.5" x14ac:dyDescent="0.25">
      <c r="A79" s="62"/>
      <c r="B79" s="62"/>
      <c r="C79" s="62"/>
      <c r="D79" s="62"/>
      <c r="E79" s="74"/>
      <c r="F79" s="62"/>
      <c r="G79" s="74"/>
      <c r="H79" s="75"/>
    </row>
    <row r="80" spans="1:8" ht="12.5" x14ac:dyDescent="0.25">
      <c r="A80" s="62"/>
      <c r="B80" s="62"/>
      <c r="C80" s="62"/>
      <c r="D80" s="62"/>
      <c r="E80" s="74"/>
      <c r="F80" s="62"/>
      <c r="G80" s="74"/>
      <c r="H80" s="75"/>
    </row>
    <row r="81" spans="1:8" ht="12.5" x14ac:dyDescent="0.25">
      <c r="A81" s="62"/>
      <c r="B81" s="62"/>
      <c r="C81" s="62"/>
      <c r="D81" s="62"/>
      <c r="E81" s="74"/>
      <c r="F81" s="62"/>
      <c r="G81" s="74"/>
      <c r="H81" s="75"/>
    </row>
    <row r="82" spans="1:8" ht="12.5" x14ac:dyDescent="0.25">
      <c r="A82" s="62"/>
      <c r="B82" s="62"/>
      <c r="C82" s="62"/>
      <c r="D82" s="62"/>
      <c r="E82" s="74"/>
      <c r="F82" s="62"/>
      <c r="G82" s="74"/>
      <c r="H82" s="75"/>
    </row>
    <row r="83" spans="1:8" ht="12.5" x14ac:dyDescent="0.25">
      <c r="A83" s="62"/>
      <c r="B83" s="62"/>
      <c r="C83" s="62"/>
      <c r="D83" s="62"/>
      <c r="E83" s="74"/>
      <c r="F83" s="62"/>
      <c r="G83" s="74"/>
      <c r="H83" s="75"/>
    </row>
    <row r="84" spans="1:8" ht="12.5" x14ac:dyDescent="0.25">
      <c r="A84" s="62"/>
      <c r="B84" s="62"/>
      <c r="C84" s="62"/>
      <c r="D84" s="62"/>
      <c r="E84" s="74"/>
      <c r="F84" s="62"/>
      <c r="G84" s="74"/>
      <c r="H84" s="75"/>
    </row>
    <row r="85" spans="1:8" ht="12.5" x14ac:dyDescent="0.25">
      <c r="A85" s="62"/>
      <c r="B85" s="62"/>
      <c r="C85" s="62"/>
      <c r="D85" s="62"/>
      <c r="E85" s="74"/>
      <c r="F85" s="62"/>
      <c r="G85" s="74"/>
      <c r="H85" s="75"/>
    </row>
    <row r="86" spans="1:8" ht="12.5" x14ac:dyDescent="0.25">
      <c r="A86" s="62"/>
      <c r="B86" s="62"/>
      <c r="C86" s="62"/>
      <c r="D86" s="62"/>
      <c r="E86" s="74"/>
      <c r="F86" s="62"/>
      <c r="G86" s="74"/>
      <c r="H86" s="75"/>
    </row>
    <row r="87" spans="1:8" ht="12.5" x14ac:dyDescent="0.25">
      <c r="A87" s="62"/>
      <c r="B87" s="62"/>
      <c r="C87" s="62"/>
      <c r="D87" s="62"/>
      <c r="E87" s="74"/>
      <c r="F87" s="62"/>
      <c r="G87" s="74"/>
      <c r="H87" s="75"/>
    </row>
    <row r="88" spans="1:8" ht="12.5" x14ac:dyDescent="0.25">
      <c r="A88" s="62"/>
      <c r="B88" s="62"/>
      <c r="C88" s="62"/>
      <c r="D88" s="62"/>
      <c r="E88" s="74"/>
      <c r="F88" s="62"/>
      <c r="G88" s="74"/>
      <c r="H88" s="75"/>
    </row>
    <row r="89" spans="1:8" ht="12.5" x14ac:dyDescent="0.25">
      <c r="A89" s="62"/>
      <c r="B89" s="62"/>
      <c r="C89" s="62"/>
      <c r="D89" s="62"/>
      <c r="E89" s="74"/>
      <c r="F89" s="62"/>
      <c r="G89" s="74"/>
      <c r="H89" s="75"/>
    </row>
    <row r="90" spans="1:8" ht="12.5" x14ac:dyDescent="0.25">
      <c r="A90" s="62"/>
      <c r="B90" s="62"/>
      <c r="C90" s="62"/>
      <c r="D90" s="62"/>
      <c r="E90" s="74"/>
      <c r="F90" s="62"/>
      <c r="G90" s="74"/>
      <c r="H90" s="75"/>
    </row>
    <row r="91" spans="1:8" ht="12.5" x14ac:dyDescent="0.25">
      <c r="A91" s="62"/>
      <c r="B91" s="62"/>
      <c r="C91" s="62"/>
      <c r="D91" s="62"/>
      <c r="E91" s="74"/>
      <c r="F91" s="62"/>
      <c r="G91" s="74"/>
      <c r="H91" s="75"/>
    </row>
    <row r="92" spans="1:8" ht="12.5" x14ac:dyDescent="0.25">
      <c r="A92" s="62"/>
      <c r="B92" s="62"/>
      <c r="C92" s="62"/>
      <c r="D92" s="62"/>
      <c r="E92" s="74"/>
      <c r="F92" s="62"/>
      <c r="G92" s="74"/>
      <c r="H92" s="75"/>
    </row>
    <row r="93" spans="1:8" ht="12.5" x14ac:dyDescent="0.25">
      <c r="A93" s="62"/>
      <c r="B93" s="62"/>
      <c r="C93" s="62"/>
      <c r="D93" s="62"/>
      <c r="E93" s="74"/>
      <c r="F93" s="62"/>
      <c r="G93" s="74"/>
      <c r="H93" s="75"/>
    </row>
    <row r="94" spans="1:8" ht="12.5" x14ac:dyDescent="0.25">
      <c r="A94" s="62"/>
      <c r="B94" s="62"/>
      <c r="C94" s="62"/>
      <c r="D94" s="62"/>
      <c r="E94" s="74"/>
      <c r="F94" s="62"/>
      <c r="G94" s="74"/>
      <c r="H94" s="75"/>
    </row>
    <row r="95" spans="1:8" ht="12.5" x14ac:dyDescent="0.25">
      <c r="A95" s="62"/>
      <c r="B95" s="62"/>
      <c r="C95" s="62"/>
      <c r="D95" s="62"/>
      <c r="E95" s="74"/>
      <c r="F95" s="62"/>
      <c r="G95" s="74"/>
      <c r="H95" s="75"/>
    </row>
    <row r="96" spans="1:8" ht="12.5" x14ac:dyDescent="0.25">
      <c r="A96" s="62"/>
      <c r="B96" s="62"/>
      <c r="C96" s="62"/>
      <c r="D96" s="62"/>
      <c r="E96" s="74"/>
      <c r="F96" s="62"/>
      <c r="G96" s="74"/>
      <c r="H96" s="75"/>
    </row>
    <row r="97" spans="1:8" ht="12.5" x14ac:dyDescent="0.25">
      <c r="A97" s="62"/>
      <c r="B97" s="62"/>
      <c r="C97" s="62"/>
      <c r="D97" s="62"/>
      <c r="E97" s="74"/>
      <c r="F97" s="62"/>
      <c r="G97" s="74"/>
      <c r="H97" s="75"/>
    </row>
    <row r="98" spans="1:8" ht="12.5" x14ac:dyDescent="0.25">
      <c r="A98" s="62"/>
      <c r="B98" s="62"/>
      <c r="C98" s="62"/>
      <c r="D98" s="62"/>
      <c r="E98" s="74"/>
      <c r="F98" s="62"/>
      <c r="G98" s="74"/>
      <c r="H98" s="75"/>
    </row>
    <row r="99" spans="1:8" ht="12.5" x14ac:dyDescent="0.25">
      <c r="A99" s="62"/>
      <c r="B99" s="62"/>
      <c r="C99" s="62"/>
      <c r="D99" s="62"/>
      <c r="E99" s="74"/>
      <c r="F99" s="62"/>
      <c r="G99" s="74"/>
      <c r="H99" s="75"/>
    </row>
    <row r="100" spans="1:8" ht="12.5" x14ac:dyDescent="0.25">
      <c r="A100" s="62"/>
      <c r="B100" s="62"/>
      <c r="C100" s="62"/>
      <c r="D100" s="62"/>
      <c r="E100" s="74"/>
      <c r="F100" s="62"/>
      <c r="G100" s="74"/>
      <c r="H100" s="75"/>
    </row>
    <row r="101" spans="1:8" ht="12.5" x14ac:dyDescent="0.25">
      <c r="A101" s="62"/>
      <c r="B101" s="62"/>
      <c r="C101" s="62"/>
      <c r="D101" s="62"/>
      <c r="E101" s="74"/>
      <c r="F101" s="62"/>
      <c r="G101" s="74"/>
      <c r="H101" s="75"/>
    </row>
    <row r="102" spans="1:8" ht="12.5" x14ac:dyDescent="0.25">
      <c r="A102" s="62"/>
      <c r="B102" s="62"/>
      <c r="C102" s="62"/>
      <c r="D102" s="62"/>
      <c r="E102" s="74"/>
      <c r="F102" s="62"/>
      <c r="G102" s="74"/>
      <c r="H102" s="75"/>
    </row>
    <row r="103" spans="1:8" ht="12.5" x14ac:dyDescent="0.25">
      <c r="A103" s="62"/>
      <c r="B103" s="62"/>
      <c r="C103" s="62"/>
      <c r="D103" s="62"/>
      <c r="E103" s="74"/>
      <c r="F103" s="62"/>
      <c r="G103" s="74"/>
      <c r="H103" s="75"/>
    </row>
    <row r="104" spans="1:8" ht="12.5" x14ac:dyDescent="0.25">
      <c r="A104" s="62"/>
      <c r="B104" s="62"/>
      <c r="C104" s="62"/>
      <c r="D104" s="62"/>
      <c r="E104" s="74"/>
      <c r="F104" s="62"/>
      <c r="G104" s="74"/>
      <c r="H104" s="75"/>
    </row>
    <row r="105" spans="1:8" ht="12.5" x14ac:dyDescent="0.25">
      <c r="A105" s="62"/>
      <c r="B105" s="62"/>
      <c r="C105" s="62"/>
      <c r="D105" s="62"/>
      <c r="E105" s="74"/>
      <c r="F105" s="62"/>
      <c r="G105" s="74"/>
      <c r="H105" s="75"/>
    </row>
    <row r="106" spans="1:8" ht="12.5" x14ac:dyDescent="0.25">
      <c r="A106" s="62"/>
      <c r="B106" s="62"/>
      <c r="C106" s="62"/>
      <c r="D106" s="62"/>
      <c r="E106" s="74"/>
      <c r="F106" s="62"/>
      <c r="G106" s="74"/>
      <c r="H106" s="75"/>
    </row>
    <row r="107" spans="1:8" ht="12.5" x14ac:dyDescent="0.25">
      <c r="A107" s="62"/>
      <c r="B107" s="62"/>
      <c r="C107" s="62"/>
      <c r="D107" s="62"/>
      <c r="E107" s="74"/>
      <c r="F107" s="62"/>
      <c r="G107" s="74"/>
      <c r="H107" s="75"/>
    </row>
    <row r="108" spans="1:8" ht="12.5" x14ac:dyDescent="0.25">
      <c r="A108" s="62"/>
      <c r="B108" s="62"/>
      <c r="C108" s="62"/>
      <c r="D108" s="62"/>
      <c r="E108" s="74"/>
      <c r="F108" s="62"/>
      <c r="G108" s="74"/>
      <c r="H108" s="75"/>
    </row>
    <row r="109" spans="1:8" ht="12.5" x14ac:dyDescent="0.25">
      <c r="A109" s="62"/>
      <c r="B109" s="62"/>
      <c r="C109" s="62"/>
      <c r="D109" s="62"/>
      <c r="E109" s="74"/>
      <c r="F109" s="62"/>
      <c r="G109" s="74"/>
      <c r="H109" s="75"/>
    </row>
    <row r="110" spans="1:8" ht="12.5" x14ac:dyDescent="0.25">
      <c r="A110" s="62"/>
      <c r="B110" s="62"/>
      <c r="C110" s="62"/>
      <c r="D110" s="62"/>
      <c r="E110" s="74"/>
      <c r="F110" s="62"/>
      <c r="G110" s="74"/>
      <c r="H110" s="75"/>
    </row>
    <row r="111" spans="1:8" ht="12.5" x14ac:dyDescent="0.25">
      <c r="A111" s="62"/>
      <c r="B111" s="62"/>
      <c r="C111" s="62"/>
      <c r="D111" s="62"/>
      <c r="E111" s="74"/>
      <c r="F111" s="62"/>
      <c r="G111" s="74"/>
      <c r="H111" s="75"/>
    </row>
    <row r="112" spans="1:8" ht="12.5" x14ac:dyDescent="0.25">
      <c r="A112" s="62"/>
      <c r="B112" s="62"/>
      <c r="C112" s="62"/>
      <c r="D112" s="62"/>
      <c r="E112" s="74"/>
      <c r="F112" s="62"/>
      <c r="G112" s="74"/>
      <c r="H112" s="75"/>
    </row>
    <row r="113" spans="1:8" ht="12.5" x14ac:dyDescent="0.25">
      <c r="A113" s="62"/>
      <c r="B113" s="62"/>
      <c r="C113" s="62"/>
      <c r="D113" s="62"/>
      <c r="E113" s="74"/>
      <c r="F113" s="62"/>
      <c r="G113" s="74"/>
      <c r="H113" s="75"/>
    </row>
    <row r="114" spans="1:8" ht="12.5" x14ac:dyDescent="0.25">
      <c r="A114" s="62"/>
      <c r="B114" s="62"/>
      <c r="C114" s="62"/>
      <c r="D114" s="62"/>
      <c r="E114" s="74"/>
      <c r="F114" s="62"/>
      <c r="G114" s="74"/>
      <c r="H114" s="75"/>
    </row>
    <row r="115" spans="1:8" ht="12.5" x14ac:dyDescent="0.25">
      <c r="A115" s="62"/>
      <c r="B115" s="62"/>
      <c r="C115" s="62"/>
      <c r="D115" s="62"/>
      <c r="E115" s="74"/>
      <c r="F115" s="62"/>
      <c r="G115" s="74"/>
      <c r="H115" s="75"/>
    </row>
    <row r="116" spans="1:8" ht="12.5" x14ac:dyDescent="0.25">
      <c r="A116" s="62"/>
      <c r="B116" s="62"/>
      <c r="C116" s="62"/>
      <c r="D116" s="62"/>
      <c r="E116" s="74"/>
      <c r="F116" s="62"/>
      <c r="G116" s="74"/>
      <c r="H116" s="75"/>
    </row>
    <row r="117" spans="1:8" ht="12.5" x14ac:dyDescent="0.25">
      <c r="A117" s="62"/>
      <c r="B117" s="62"/>
      <c r="C117" s="62"/>
      <c r="D117" s="62"/>
      <c r="E117" s="74"/>
      <c r="F117" s="62"/>
      <c r="G117" s="74"/>
      <c r="H117" s="75"/>
    </row>
    <row r="118" spans="1:8" ht="12.5" x14ac:dyDescent="0.25">
      <c r="A118" s="62"/>
      <c r="B118" s="62"/>
      <c r="C118" s="62"/>
      <c r="D118" s="62"/>
      <c r="E118" s="74"/>
      <c r="F118" s="62"/>
      <c r="G118" s="74"/>
      <c r="H118" s="75"/>
    </row>
    <row r="119" spans="1:8" ht="12.5" x14ac:dyDescent="0.25">
      <c r="A119" s="62"/>
      <c r="B119" s="62"/>
      <c r="C119" s="62"/>
      <c r="D119" s="62"/>
      <c r="E119" s="74"/>
      <c r="F119" s="62"/>
      <c r="G119" s="74"/>
      <c r="H119" s="75"/>
    </row>
    <row r="120" spans="1:8" ht="12.5" x14ac:dyDescent="0.25">
      <c r="A120" s="62"/>
      <c r="B120" s="62"/>
      <c r="C120" s="62"/>
      <c r="D120" s="62"/>
      <c r="E120" s="74"/>
      <c r="F120" s="62"/>
      <c r="G120" s="74"/>
      <c r="H120" s="75"/>
    </row>
    <row r="121" spans="1:8" ht="12.5" x14ac:dyDescent="0.25">
      <c r="A121" s="62"/>
      <c r="B121" s="62"/>
      <c r="C121" s="62"/>
      <c r="D121" s="62"/>
      <c r="E121" s="74"/>
      <c r="F121" s="62"/>
      <c r="G121" s="74"/>
      <c r="H121" s="75"/>
    </row>
    <row r="122" spans="1:8" ht="12.5" x14ac:dyDescent="0.25">
      <c r="A122" s="62"/>
      <c r="B122" s="62"/>
      <c r="C122" s="62"/>
      <c r="D122" s="62"/>
      <c r="E122" s="74"/>
      <c r="F122" s="62"/>
      <c r="G122" s="74"/>
      <c r="H122" s="75"/>
    </row>
    <row r="123" spans="1:8" ht="12.5" x14ac:dyDescent="0.25">
      <c r="A123" s="62"/>
      <c r="B123" s="62"/>
      <c r="C123" s="62"/>
      <c r="D123" s="62"/>
      <c r="E123" s="74"/>
      <c r="F123" s="62"/>
      <c r="G123" s="74"/>
      <c r="H123" s="75"/>
    </row>
    <row r="124" spans="1:8" ht="12.5" x14ac:dyDescent="0.25">
      <c r="A124" s="62"/>
      <c r="B124" s="62"/>
      <c r="C124" s="62"/>
      <c r="D124" s="62"/>
      <c r="E124" s="74"/>
      <c r="F124" s="62"/>
      <c r="G124" s="74"/>
      <c r="H124" s="75"/>
    </row>
    <row r="125" spans="1:8" ht="12.5" x14ac:dyDescent="0.25">
      <c r="A125" s="62"/>
      <c r="B125" s="62"/>
      <c r="C125" s="62"/>
      <c r="D125" s="62"/>
      <c r="E125" s="74"/>
      <c r="F125" s="62"/>
      <c r="G125" s="74"/>
      <c r="H125" s="75"/>
    </row>
    <row r="126" spans="1:8" ht="12.5" x14ac:dyDescent="0.25">
      <c r="A126" s="62"/>
      <c r="B126" s="62"/>
      <c r="C126" s="62"/>
      <c r="D126" s="62"/>
      <c r="E126" s="74"/>
      <c r="F126" s="62"/>
      <c r="G126" s="74"/>
      <c r="H126" s="75"/>
    </row>
    <row r="127" spans="1:8" ht="12.5" x14ac:dyDescent="0.25">
      <c r="A127" s="62"/>
      <c r="B127" s="62"/>
      <c r="C127" s="62"/>
      <c r="D127" s="62"/>
      <c r="E127" s="74"/>
      <c r="F127" s="62"/>
      <c r="G127" s="74"/>
      <c r="H127" s="75"/>
    </row>
    <row r="128" spans="1:8" ht="12.5" x14ac:dyDescent="0.25">
      <c r="A128" s="62"/>
      <c r="B128" s="62"/>
      <c r="C128" s="62"/>
      <c r="D128" s="62"/>
      <c r="E128" s="74"/>
      <c r="F128" s="62"/>
      <c r="G128" s="74"/>
      <c r="H128" s="75"/>
    </row>
    <row r="129" spans="1:8" ht="12.5" x14ac:dyDescent="0.25">
      <c r="A129" s="62"/>
      <c r="B129" s="62"/>
      <c r="C129" s="62"/>
      <c r="D129" s="62"/>
      <c r="E129" s="74"/>
      <c r="F129" s="62"/>
      <c r="G129" s="74"/>
      <c r="H129" s="75"/>
    </row>
    <row r="130" spans="1:8" ht="12.5" x14ac:dyDescent="0.25">
      <c r="A130" s="62"/>
      <c r="B130" s="62"/>
      <c r="C130" s="62"/>
      <c r="D130" s="62"/>
      <c r="E130" s="74"/>
      <c r="F130" s="62"/>
      <c r="G130" s="74"/>
      <c r="H130" s="75"/>
    </row>
    <row r="131" spans="1:8" ht="12.5" x14ac:dyDescent="0.25">
      <c r="A131" s="62"/>
      <c r="B131" s="62"/>
      <c r="C131" s="62"/>
      <c r="D131" s="62"/>
      <c r="E131" s="74"/>
      <c r="F131" s="62"/>
      <c r="G131" s="74"/>
      <c r="H131" s="75"/>
    </row>
    <row r="132" spans="1:8" ht="12.5" x14ac:dyDescent="0.25">
      <c r="A132" s="62"/>
      <c r="B132" s="62"/>
      <c r="C132" s="62"/>
      <c r="D132" s="62"/>
      <c r="E132" s="74"/>
      <c r="F132" s="62"/>
      <c r="G132" s="74"/>
      <c r="H132" s="75"/>
    </row>
    <row r="133" spans="1:8" ht="12.5" x14ac:dyDescent="0.25">
      <c r="A133" s="62"/>
      <c r="B133" s="62"/>
      <c r="C133" s="62"/>
      <c r="D133" s="62"/>
      <c r="E133" s="74"/>
      <c r="F133" s="62"/>
      <c r="G133" s="74"/>
      <c r="H133" s="75"/>
    </row>
    <row r="134" spans="1:8" ht="12.5" x14ac:dyDescent="0.25">
      <c r="A134" s="62"/>
      <c r="B134" s="62"/>
      <c r="C134" s="62"/>
      <c r="D134" s="62"/>
      <c r="E134" s="74"/>
      <c r="F134" s="62"/>
      <c r="G134" s="74"/>
      <c r="H134" s="75"/>
    </row>
    <row r="135" spans="1:8" ht="12.5" x14ac:dyDescent="0.25">
      <c r="A135" s="62"/>
      <c r="B135" s="62"/>
      <c r="C135" s="62"/>
      <c r="D135" s="62"/>
      <c r="E135" s="74"/>
      <c r="F135" s="62"/>
      <c r="G135" s="74"/>
      <c r="H135" s="75"/>
    </row>
    <row r="136" spans="1:8" ht="12.5" x14ac:dyDescent="0.25">
      <c r="A136" s="62"/>
      <c r="B136" s="62"/>
      <c r="C136" s="62"/>
      <c r="D136" s="62"/>
      <c r="E136" s="74"/>
      <c r="F136" s="62"/>
      <c r="G136" s="74"/>
      <c r="H136" s="75"/>
    </row>
    <row r="137" spans="1:8" ht="12.5" x14ac:dyDescent="0.25">
      <c r="A137" s="62"/>
      <c r="B137" s="62"/>
      <c r="C137" s="62"/>
      <c r="D137" s="62"/>
      <c r="E137" s="74"/>
      <c r="F137" s="62"/>
      <c r="G137" s="74"/>
      <c r="H137" s="75"/>
    </row>
    <row r="138" spans="1:8" ht="12.5" x14ac:dyDescent="0.25">
      <c r="A138" s="62"/>
      <c r="B138" s="62"/>
      <c r="C138" s="62"/>
      <c r="D138" s="62"/>
      <c r="E138" s="74"/>
      <c r="F138" s="62"/>
      <c r="G138" s="74"/>
      <c r="H138" s="75"/>
    </row>
    <row r="139" spans="1:8" ht="12.5" x14ac:dyDescent="0.25">
      <c r="A139" s="62"/>
      <c r="B139" s="62"/>
      <c r="C139" s="62"/>
      <c r="D139" s="62"/>
      <c r="E139" s="74"/>
      <c r="F139" s="62"/>
      <c r="G139" s="74"/>
      <c r="H139" s="75"/>
    </row>
    <row r="140" spans="1:8" ht="12.5" x14ac:dyDescent="0.25">
      <c r="A140" s="62"/>
      <c r="B140" s="62"/>
      <c r="C140" s="62"/>
      <c r="D140" s="62"/>
      <c r="E140" s="74"/>
      <c r="F140" s="62"/>
      <c r="G140" s="74"/>
      <c r="H140" s="75"/>
    </row>
    <row r="141" spans="1:8" ht="12.5" x14ac:dyDescent="0.25">
      <c r="A141" s="62"/>
      <c r="B141" s="62"/>
      <c r="C141" s="62"/>
      <c r="D141" s="62"/>
      <c r="E141" s="74"/>
      <c r="F141" s="62"/>
      <c r="G141" s="74"/>
      <c r="H141" s="75"/>
    </row>
    <row r="142" spans="1:8" ht="12.5" x14ac:dyDescent="0.25">
      <c r="A142" s="62"/>
      <c r="B142" s="62"/>
      <c r="C142" s="62"/>
      <c r="D142" s="62"/>
      <c r="E142" s="74"/>
      <c r="F142" s="62"/>
      <c r="G142" s="74"/>
      <c r="H142" s="75"/>
    </row>
    <row r="143" spans="1:8" ht="12.5" x14ac:dyDescent="0.25">
      <c r="A143" s="62"/>
      <c r="B143" s="62"/>
      <c r="C143" s="62"/>
      <c r="D143" s="62"/>
      <c r="E143" s="74"/>
      <c r="F143" s="62"/>
      <c r="G143" s="74"/>
      <c r="H143" s="75"/>
    </row>
    <row r="144" spans="1:8" ht="12.5" x14ac:dyDescent="0.25">
      <c r="A144" s="62"/>
      <c r="B144" s="62"/>
      <c r="C144" s="62"/>
      <c r="D144" s="62"/>
      <c r="E144" s="74"/>
      <c r="F144" s="62"/>
      <c r="G144" s="74"/>
      <c r="H144" s="75"/>
    </row>
    <row r="145" spans="1:8" ht="12.5" x14ac:dyDescent="0.25">
      <c r="A145" s="62"/>
      <c r="B145" s="62"/>
      <c r="C145" s="62"/>
      <c r="D145" s="62"/>
      <c r="E145" s="74"/>
      <c r="F145" s="62"/>
      <c r="G145" s="74"/>
      <c r="H145" s="75"/>
    </row>
    <row r="146" spans="1:8" ht="12.5" x14ac:dyDescent="0.25">
      <c r="A146" s="62"/>
      <c r="B146" s="62"/>
      <c r="C146" s="62"/>
      <c r="D146" s="62"/>
      <c r="E146" s="74"/>
      <c r="F146" s="62"/>
      <c r="G146" s="74"/>
      <c r="H146" s="75"/>
    </row>
    <row r="147" spans="1:8" ht="12.5" x14ac:dyDescent="0.25">
      <c r="A147" s="62"/>
      <c r="B147" s="62"/>
      <c r="C147" s="62"/>
      <c r="D147" s="62"/>
      <c r="E147" s="74"/>
      <c r="F147" s="62"/>
      <c r="G147" s="74"/>
      <c r="H147" s="75"/>
    </row>
    <row r="148" spans="1:8" ht="12.5" x14ac:dyDescent="0.25">
      <c r="A148" s="62"/>
      <c r="B148" s="62"/>
      <c r="C148" s="62"/>
      <c r="D148" s="62"/>
      <c r="E148" s="74"/>
      <c r="F148" s="62"/>
      <c r="G148" s="74"/>
      <c r="H148" s="75"/>
    </row>
    <row r="149" spans="1:8" ht="12.5" x14ac:dyDescent="0.25">
      <c r="A149" s="62"/>
      <c r="B149" s="62"/>
      <c r="C149" s="62"/>
      <c r="D149" s="62"/>
      <c r="E149" s="74"/>
      <c r="F149" s="62"/>
      <c r="G149" s="74"/>
      <c r="H149" s="75"/>
    </row>
    <row r="150" spans="1:8" ht="12.5" x14ac:dyDescent="0.25">
      <c r="A150" s="62"/>
      <c r="B150" s="62"/>
      <c r="C150" s="62"/>
      <c r="D150" s="62"/>
      <c r="E150" s="74"/>
      <c r="F150" s="62"/>
      <c r="G150" s="74"/>
      <c r="H150" s="75"/>
    </row>
    <row r="151" spans="1:8" ht="12.5" x14ac:dyDescent="0.25">
      <c r="A151" s="62"/>
      <c r="B151" s="62"/>
      <c r="C151" s="62"/>
      <c r="D151" s="62"/>
      <c r="E151" s="74"/>
      <c r="F151" s="62"/>
      <c r="G151" s="74"/>
      <c r="H151" s="75"/>
    </row>
    <row r="152" spans="1:8" ht="12.5" x14ac:dyDescent="0.25">
      <c r="A152" s="62"/>
      <c r="B152" s="62"/>
      <c r="C152" s="62"/>
      <c r="D152" s="62"/>
      <c r="E152" s="74"/>
      <c r="F152" s="62"/>
      <c r="G152" s="74"/>
      <c r="H152" s="75"/>
    </row>
    <row r="153" spans="1:8" ht="12.5" x14ac:dyDescent="0.25">
      <c r="A153" s="62"/>
      <c r="B153" s="62"/>
      <c r="C153" s="62"/>
      <c r="D153" s="62"/>
      <c r="E153" s="74"/>
      <c r="F153" s="62"/>
      <c r="G153" s="74"/>
      <c r="H153" s="75"/>
    </row>
    <row r="154" spans="1:8" ht="12.5" x14ac:dyDescent="0.25">
      <c r="A154" s="62"/>
      <c r="B154" s="62"/>
      <c r="C154" s="62"/>
      <c r="D154" s="62"/>
      <c r="E154" s="74"/>
      <c r="F154" s="62"/>
      <c r="G154" s="74"/>
      <c r="H154" s="75"/>
    </row>
    <row r="155" spans="1:8" ht="12.5" x14ac:dyDescent="0.25">
      <c r="A155" s="62"/>
      <c r="B155" s="62"/>
      <c r="C155" s="62"/>
      <c r="D155" s="62"/>
      <c r="E155" s="74"/>
      <c r="F155" s="62"/>
      <c r="G155" s="74"/>
      <c r="H155" s="75"/>
    </row>
    <row r="156" spans="1:8" ht="12.5" x14ac:dyDescent="0.25">
      <c r="A156" s="62"/>
      <c r="B156" s="62"/>
      <c r="C156" s="62"/>
      <c r="D156" s="62"/>
      <c r="E156" s="74"/>
      <c r="F156" s="62"/>
      <c r="G156" s="74"/>
      <c r="H156" s="75"/>
    </row>
    <row r="157" spans="1:8" ht="12.5" x14ac:dyDescent="0.25">
      <c r="A157" s="62"/>
      <c r="B157" s="62"/>
      <c r="C157" s="62"/>
      <c r="D157" s="62"/>
      <c r="E157" s="74"/>
      <c r="F157" s="62"/>
      <c r="G157" s="74"/>
      <c r="H157" s="75"/>
    </row>
    <row r="158" spans="1:8" ht="12.5" x14ac:dyDescent="0.25">
      <c r="A158" s="62"/>
      <c r="B158" s="62"/>
      <c r="C158" s="62"/>
      <c r="D158" s="62"/>
      <c r="E158" s="74"/>
      <c r="F158" s="62"/>
      <c r="G158" s="74"/>
      <c r="H158" s="75"/>
    </row>
    <row r="159" spans="1:8" ht="12.5" x14ac:dyDescent="0.25">
      <c r="A159" s="62"/>
      <c r="B159" s="62"/>
      <c r="C159" s="62"/>
      <c r="D159" s="62"/>
      <c r="E159" s="74"/>
      <c r="F159" s="62"/>
      <c r="G159" s="74"/>
      <c r="H159" s="75"/>
    </row>
    <row r="160" spans="1:8" ht="12.5" x14ac:dyDescent="0.25">
      <c r="A160" s="62"/>
      <c r="B160" s="62"/>
      <c r="C160" s="62"/>
      <c r="D160" s="62"/>
      <c r="E160" s="74"/>
      <c r="F160" s="62"/>
      <c r="G160" s="74"/>
      <c r="H160" s="75"/>
    </row>
    <row r="161" spans="1:8" ht="12.5" x14ac:dyDescent="0.25">
      <c r="A161" s="62"/>
      <c r="B161" s="62"/>
      <c r="C161" s="62"/>
      <c r="D161" s="62"/>
      <c r="E161" s="74"/>
      <c r="F161" s="62"/>
      <c r="G161" s="74"/>
      <c r="H161" s="75"/>
    </row>
    <row r="162" spans="1:8" ht="12.5" x14ac:dyDescent="0.25">
      <c r="A162" s="62"/>
      <c r="B162" s="62"/>
      <c r="C162" s="62"/>
      <c r="D162" s="62"/>
      <c r="E162" s="74"/>
      <c r="F162" s="62"/>
      <c r="G162" s="74"/>
      <c r="H162" s="75"/>
    </row>
    <row r="163" spans="1:8" ht="12.5" x14ac:dyDescent="0.25">
      <c r="A163" s="62"/>
      <c r="B163" s="62"/>
      <c r="C163" s="62"/>
      <c r="D163" s="62"/>
      <c r="E163" s="74"/>
      <c r="F163" s="62"/>
      <c r="G163" s="74"/>
      <c r="H163" s="75"/>
    </row>
    <row r="164" spans="1:8" ht="12.5" x14ac:dyDescent="0.25">
      <c r="A164" s="62"/>
      <c r="B164" s="62"/>
      <c r="C164" s="62"/>
      <c r="D164" s="62"/>
      <c r="E164" s="74"/>
      <c r="F164" s="62"/>
      <c r="G164" s="74"/>
      <c r="H164" s="75"/>
    </row>
    <row r="165" spans="1:8" ht="12.5" x14ac:dyDescent="0.25">
      <c r="A165" s="62"/>
      <c r="B165" s="62"/>
      <c r="C165" s="62"/>
      <c r="D165" s="62"/>
      <c r="E165" s="74"/>
      <c r="F165" s="62"/>
      <c r="G165" s="74"/>
      <c r="H165" s="75"/>
    </row>
    <row r="166" spans="1:8" ht="12.5" x14ac:dyDescent="0.25">
      <c r="A166" s="62"/>
      <c r="B166" s="62"/>
      <c r="C166" s="62"/>
      <c r="D166" s="62"/>
      <c r="E166" s="74"/>
      <c r="F166" s="62"/>
      <c r="G166" s="74"/>
      <c r="H166" s="75"/>
    </row>
    <row r="167" spans="1:8" ht="12.5" x14ac:dyDescent="0.25">
      <c r="A167" s="62"/>
      <c r="B167" s="62"/>
      <c r="C167" s="62"/>
      <c r="D167" s="62"/>
      <c r="E167" s="74"/>
      <c r="F167" s="62"/>
      <c r="G167" s="74"/>
      <c r="H167" s="75"/>
    </row>
    <row r="168" spans="1:8" ht="12.5" x14ac:dyDescent="0.25">
      <c r="A168" s="62"/>
      <c r="B168" s="62"/>
      <c r="C168" s="62"/>
      <c r="D168" s="62"/>
      <c r="E168" s="74"/>
      <c r="F168" s="62"/>
      <c r="G168" s="74"/>
      <c r="H168" s="75"/>
    </row>
    <row r="169" spans="1:8" ht="12.5" x14ac:dyDescent="0.25">
      <c r="A169" s="62"/>
      <c r="B169" s="62"/>
      <c r="C169" s="62"/>
      <c r="D169" s="62"/>
      <c r="E169" s="74"/>
      <c r="F169" s="62"/>
      <c r="G169" s="74"/>
      <c r="H169" s="75"/>
    </row>
    <row r="170" spans="1:8" ht="12.5" x14ac:dyDescent="0.25">
      <c r="A170" s="62"/>
      <c r="B170" s="62"/>
      <c r="C170" s="62"/>
      <c r="D170" s="62"/>
      <c r="E170" s="74"/>
      <c r="F170" s="62"/>
      <c r="G170" s="74"/>
      <c r="H170" s="75"/>
    </row>
    <row r="171" spans="1:8" ht="12.5" x14ac:dyDescent="0.25">
      <c r="A171" s="62"/>
      <c r="B171" s="62"/>
      <c r="C171" s="62"/>
      <c r="D171" s="62"/>
      <c r="E171" s="74"/>
      <c r="F171" s="62"/>
      <c r="G171" s="74"/>
      <c r="H171" s="75"/>
    </row>
    <row r="172" spans="1:8" ht="12.5" x14ac:dyDescent="0.25">
      <c r="A172" s="62"/>
      <c r="B172" s="62"/>
      <c r="C172" s="62"/>
      <c r="D172" s="62"/>
      <c r="E172" s="74"/>
      <c r="F172" s="62"/>
      <c r="G172" s="74"/>
      <c r="H172" s="75"/>
    </row>
    <row r="173" spans="1:8" ht="12.5" x14ac:dyDescent="0.25">
      <c r="A173" s="62"/>
      <c r="B173" s="62"/>
      <c r="C173" s="62"/>
      <c r="D173" s="62"/>
      <c r="E173" s="74"/>
      <c r="F173" s="62"/>
      <c r="G173" s="74"/>
      <c r="H173" s="75"/>
    </row>
    <row r="174" spans="1:8" ht="12.5" x14ac:dyDescent="0.25">
      <c r="A174" s="62"/>
      <c r="B174" s="62"/>
      <c r="C174" s="62"/>
      <c r="D174" s="62"/>
      <c r="E174" s="74"/>
      <c r="F174" s="62"/>
      <c r="G174" s="74"/>
      <c r="H174" s="75"/>
    </row>
    <row r="175" spans="1:8" ht="12.5" x14ac:dyDescent="0.25">
      <c r="A175" s="62"/>
      <c r="B175" s="62"/>
      <c r="C175" s="62"/>
      <c r="D175" s="62"/>
      <c r="E175" s="74"/>
      <c r="F175" s="62"/>
      <c r="G175" s="74"/>
      <c r="H175" s="75"/>
    </row>
    <row r="176" spans="1:8" ht="12.5" x14ac:dyDescent="0.25">
      <c r="A176" s="62"/>
      <c r="B176" s="62"/>
      <c r="C176" s="62"/>
      <c r="D176" s="62"/>
      <c r="E176" s="74"/>
      <c r="F176" s="62"/>
      <c r="G176" s="74"/>
      <c r="H176" s="75"/>
    </row>
    <row r="177" spans="1:8" ht="12.5" x14ac:dyDescent="0.25">
      <c r="A177" s="62"/>
      <c r="B177" s="62"/>
      <c r="C177" s="62"/>
      <c r="D177" s="62"/>
      <c r="E177" s="74"/>
      <c r="F177" s="62"/>
      <c r="G177" s="74"/>
      <c r="H177" s="75"/>
    </row>
    <row r="178" spans="1:8" ht="12.5" x14ac:dyDescent="0.25">
      <c r="A178" s="62"/>
      <c r="B178" s="62"/>
      <c r="C178" s="62"/>
      <c r="D178" s="62"/>
      <c r="E178" s="74"/>
      <c r="F178" s="62"/>
      <c r="G178" s="74"/>
      <c r="H178" s="75"/>
    </row>
    <row r="179" spans="1:8" ht="12.5" x14ac:dyDescent="0.25">
      <c r="A179" s="62"/>
      <c r="B179" s="62"/>
      <c r="C179" s="62"/>
      <c r="D179" s="62"/>
      <c r="E179" s="74"/>
      <c r="F179" s="62"/>
      <c r="G179" s="74"/>
      <c r="H179" s="75"/>
    </row>
    <row r="180" spans="1:8" ht="12.5" x14ac:dyDescent="0.25">
      <c r="A180" s="62"/>
      <c r="B180" s="62"/>
      <c r="C180" s="62"/>
      <c r="D180" s="62"/>
      <c r="E180" s="74"/>
      <c r="F180" s="62"/>
      <c r="G180" s="74"/>
      <c r="H180" s="75"/>
    </row>
    <row r="181" spans="1:8" ht="12.5" x14ac:dyDescent="0.25">
      <c r="A181" s="62"/>
      <c r="B181" s="62"/>
      <c r="C181" s="62"/>
      <c r="D181" s="62"/>
      <c r="E181" s="74"/>
      <c r="F181" s="62"/>
      <c r="G181" s="74"/>
      <c r="H181" s="75"/>
    </row>
    <row r="182" spans="1:8" ht="12.5" x14ac:dyDescent="0.25">
      <c r="A182" s="62"/>
      <c r="B182" s="62"/>
      <c r="C182" s="62"/>
      <c r="D182" s="62"/>
      <c r="E182" s="74"/>
      <c r="F182" s="62"/>
      <c r="G182" s="74"/>
      <c r="H182" s="75"/>
    </row>
    <row r="183" spans="1:8" ht="12.5" x14ac:dyDescent="0.25">
      <c r="A183" s="62"/>
      <c r="B183" s="62"/>
      <c r="C183" s="62"/>
      <c r="D183" s="62"/>
      <c r="E183" s="74"/>
      <c r="F183" s="62"/>
      <c r="G183" s="74"/>
      <c r="H183" s="75"/>
    </row>
    <row r="184" spans="1:8" ht="12.5" x14ac:dyDescent="0.25">
      <c r="A184" s="62"/>
      <c r="B184" s="62"/>
      <c r="C184" s="62"/>
      <c r="D184" s="62"/>
      <c r="E184" s="74"/>
      <c r="F184" s="62"/>
      <c r="G184" s="74"/>
      <c r="H184" s="75"/>
    </row>
    <row r="185" spans="1:8" ht="12.5" x14ac:dyDescent="0.25">
      <c r="A185" s="62"/>
      <c r="B185" s="62"/>
      <c r="C185" s="62"/>
      <c r="D185" s="62"/>
      <c r="E185" s="74"/>
      <c r="F185" s="62"/>
      <c r="G185" s="74"/>
      <c r="H185" s="75"/>
    </row>
    <row r="186" spans="1:8" ht="12.5" x14ac:dyDescent="0.25">
      <c r="A186" s="62"/>
      <c r="B186" s="62"/>
      <c r="C186" s="62"/>
      <c r="D186" s="62"/>
      <c r="E186" s="74"/>
      <c r="F186" s="62"/>
      <c r="G186" s="74"/>
      <c r="H186" s="75"/>
    </row>
    <row r="187" spans="1:8" ht="12.5" x14ac:dyDescent="0.25">
      <c r="A187" s="62"/>
      <c r="B187" s="62"/>
      <c r="C187" s="62"/>
      <c r="D187" s="62"/>
      <c r="E187" s="74"/>
      <c r="F187" s="62"/>
      <c r="G187" s="74"/>
      <c r="H187" s="75"/>
    </row>
    <row r="188" spans="1:8" ht="12.5" x14ac:dyDescent="0.25">
      <c r="A188" s="62"/>
      <c r="B188" s="62"/>
      <c r="C188" s="62"/>
      <c r="D188" s="62"/>
      <c r="E188" s="74"/>
      <c r="F188" s="62"/>
      <c r="G188" s="74"/>
      <c r="H188" s="75"/>
    </row>
    <row r="189" spans="1:8" ht="12.5" x14ac:dyDescent="0.25">
      <c r="A189" s="62"/>
      <c r="B189" s="62"/>
      <c r="C189" s="62"/>
      <c r="D189" s="62"/>
      <c r="E189" s="74"/>
      <c r="F189" s="62"/>
      <c r="G189" s="74"/>
      <c r="H189" s="75"/>
    </row>
    <row r="190" spans="1:8" ht="12.5" x14ac:dyDescent="0.25">
      <c r="A190" s="62"/>
      <c r="B190" s="62"/>
      <c r="C190" s="62"/>
      <c r="D190" s="62"/>
      <c r="E190" s="74"/>
      <c r="F190" s="62"/>
      <c r="G190" s="74"/>
      <c r="H190" s="75"/>
    </row>
    <row r="191" spans="1:8" ht="12.5" x14ac:dyDescent="0.25">
      <c r="A191" s="62"/>
      <c r="B191" s="62"/>
      <c r="C191" s="62"/>
      <c r="D191" s="62"/>
      <c r="E191" s="74"/>
      <c r="F191" s="62"/>
      <c r="G191" s="74"/>
      <c r="H191" s="75"/>
    </row>
    <row r="192" spans="1:8" ht="12.5" x14ac:dyDescent="0.25">
      <c r="A192" s="62"/>
      <c r="B192" s="62"/>
      <c r="C192" s="62"/>
      <c r="D192" s="62"/>
      <c r="E192" s="74"/>
      <c r="F192" s="62"/>
      <c r="G192" s="74"/>
      <c r="H192" s="75"/>
    </row>
    <row r="193" spans="1:8" ht="12.5" x14ac:dyDescent="0.25">
      <c r="A193" s="62"/>
      <c r="B193" s="62"/>
      <c r="C193" s="62"/>
      <c r="D193" s="62"/>
      <c r="E193" s="74"/>
      <c r="F193" s="62"/>
      <c r="G193" s="74"/>
      <c r="H193" s="75"/>
    </row>
    <row r="194" spans="1:8" ht="12.5" x14ac:dyDescent="0.25">
      <c r="A194" s="62"/>
      <c r="B194" s="62"/>
      <c r="C194" s="62"/>
      <c r="D194" s="62"/>
      <c r="E194" s="74"/>
      <c r="F194" s="62"/>
      <c r="G194" s="74"/>
      <c r="H194" s="75"/>
    </row>
    <row r="195" spans="1:8" ht="12.5" x14ac:dyDescent="0.25">
      <c r="A195" s="62"/>
      <c r="B195" s="62"/>
      <c r="C195" s="62"/>
      <c r="D195" s="62"/>
      <c r="E195" s="74"/>
      <c r="F195" s="62"/>
      <c r="G195" s="74"/>
      <c r="H195" s="75"/>
    </row>
    <row r="196" spans="1:8" ht="12.5" x14ac:dyDescent="0.25">
      <c r="A196" s="62"/>
      <c r="B196" s="62"/>
      <c r="C196" s="62"/>
      <c r="D196" s="62"/>
      <c r="E196" s="74"/>
      <c r="F196" s="62"/>
      <c r="G196" s="74"/>
      <c r="H196" s="75"/>
    </row>
    <row r="197" spans="1:8" ht="12.5" x14ac:dyDescent="0.25">
      <c r="A197" s="62"/>
      <c r="B197" s="62"/>
      <c r="C197" s="62"/>
      <c r="D197" s="62"/>
      <c r="E197" s="74"/>
      <c r="F197" s="62"/>
      <c r="G197" s="74"/>
      <c r="H197" s="75"/>
    </row>
    <row r="198" spans="1:8" ht="12.5" x14ac:dyDescent="0.25">
      <c r="A198" s="62"/>
      <c r="B198" s="62"/>
      <c r="C198" s="62"/>
      <c r="D198" s="62"/>
      <c r="E198" s="74"/>
      <c r="F198" s="62"/>
      <c r="G198" s="74"/>
      <c r="H198" s="75"/>
    </row>
    <row r="199" spans="1:8" ht="12.5" x14ac:dyDescent="0.25">
      <c r="A199" s="62"/>
      <c r="B199" s="62"/>
      <c r="C199" s="62"/>
      <c r="D199" s="62"/>
      <c r="E199" s="74"/>
      <c r="F199" s="62"/>
      <c r="G199" s="74"/>
      <c r="H199" s="75"/>
    </row>
    <row r="200" spans="1:8" ht="12.5" x14ac:dyDescent="0.25">
      <c r="A200" s="62"/>
      <c r="B200" s="62"/>
      <c r="C200" s="62"/>
      <c r="D200" s="62"/>
      <c r="E200" s="74"/>
      <c r="F200" s="62"/>
      <c r="G200" s="74"/>
      <c r="H200" s="75"/>
    </row>
    <row r="201" spans="1:8" ht="12.5" x14ac:dyDescent="0.25">
      <c r="A201" s="62"/>
      <c r="B201" s="62"/>
      <c r="C201" s="62"/>
      <c r="D201" s="62"/>
      <c r="E201" s="74"/>
      <c r="F201" s="62"/>
      <c r="G201" s="74"/>
      <c r="H201" s="75"/>
    </row>
    <row r="202" spans="1:8" ht="12.5" x14ac:dyDescent="0.25">
      <c r="A202" s="62"/>
      <c r="B202" s="62"/>
      <c r="C202" s="62"/>
      <c r="D202" s="62"/>
      <c r="E202" s="74"/>
      <c r="F202" s="62"/>
      <c r="G202" s="74"/>
      <c r="H202" s="75"/>
    </row>
    <row r="203" spans="1:8" ht="12.5" x14ac:dyDescent="0.25">
      <c r="A203" s="62"/>
      <c r="B203" s="62"/>
      <c r="C203" s="62"/>
      <c r="D203" s="62"/>
      <c r="E203" s="74"/>
      <c r="F203" s="62"/>
      <c r="G203" s="74"/>
      <c r="H203" s="75"/>
    </row>
    <row r="204" spans="1:8" ht="12.5" x14ac:dyDescent="0.25">
      <c r="A204" s="62"/>
      <c r="B204" s="62"/>
      <c r="C204" s="62"/>
      <c r="D204" s="62"/>
      <c r="E204" s="74"/>
      <c r="F204" s="62"/>
      <c r="G204" s="74"/>
      <c r="H204" s="75"/>
    </row>
    <row r="205" spans="1:8" ht="12.5" x14ac:dyDescent="0.25">
      <c r="A205" s="62"/>
      <c r="B205" s="62"/>
      <c r="C205" s="62"/>
      <c r="D205" s="62"/>
      <c r="E205" s="74"/>
      <c r="F205" s="62"/>
      <c r="G205" s="74"/>
      <c r="H205" s="75"/>
    </row>
    <row r="206" spans="1:8" ht="12.5" x14ac:dyDescent="0.25">
      <c r="A206" s="62"/>
      <c r="B206" s="62"/>
      <c r="C206" s="62"/>
      <c r="D206" s="62"/>
      <c r="E206" s="74"/>
      <c r="F206" s="62"/>
      <c r="G206" s="74"/>
      <c r="H206" s="75"/>
    </row>
    <row r="207" spans="1:8" ht="12.5" x14ac:dyDescent="0.25">
      <c r="A207" s="62"/>
      <c r="B207" s="62"/>
      <c r="C207" s="62"/>
      <c r="D207" s="62"/>
      <c r="E207" s="74"/>
      <c r="F207" s="62"/>
      <c r="G207" s="74"/>
      <c r="H207" s="75"/>
    </row>
    <row r="208" spans="1:8" ht="12.5" x14ac:dyDescent="0.25">
      <c r="A208" s="62"/>
      <c r="B208" s="62"/>
      <c r="C208" s="62"/>
      <c r="D208" s="62"/>
      <c r="E208" s="74"/>
      <c r="F208" s="62"/>
      <c r="G208" s="74"/>
      <c r="H208" s="75"/>
    </row>
    <row r="209" spans="1:8" ht="12.5" x14ac:dyDescent="0.25">
      <c r="A209" s="62"/>
      <c r="B209" s="62"/>
      <c r="C209" s="62"/>
      <c r="D209" s="62"/>
      <c r="E209" s="74"/>
      <c r="F209" s="62"/>
      <c r="G209" s="74"/>
      <c r="H209" s="75"/>
    </row>
    <row r="210" spans="1:8" ht="12.5" x14ac:dyDescent="0.25">
      <c r="A210" s="62"/>
      <c r="B210" s="62"/>
      <c r="C210" s="62"/>
      <c r="D210" s="62"/>
      <c r="E210" s="74"/>
      <c r="F210" s="62"/>
      <c r="G210" s="74"/>
      <c r="H210" s="75"/>
    </row>
    <row r="211" spans="1:8" ht="12.5" x14ac:dyDescent="0.25">
      <c r="A211" s="62"/>
      <c r="B211" s="62"/>
      <c r="C211" s="62"/>
      <c r="D211" s="62"/>
      <c r="E211" s="74"/>
      <c r="F211" s="62"/>
      <c r="G211" s="74"/>
      <c r="H211" s="75"/>
    </row>
    <row r="212" spans="1:8" ht="12.5" x14ac:dyDescent="0.25">
      <c r="A212" s="62"/>
      <c r="B212" s="62"/>
      <c r="C212" s="62"/>
      <c r="D212" s="62"/>
      <c r="E212" s="74"/>
      <c r="F212" s="62"/>
      <c r="G212" s="74"/>
      <c r="H212" s="75"/>
    </row>
    <row r="213" spans="1:8" ht="12.5" x14ac:dyDescent="0.25">
      <c r="A213" s="62"/>
      <c r="B213" s="62"/>
      <c r="C213" s="62"/>
      <c r="D213" s="62"/>
      <c r="E213" s="74"/>
      <c r="F213" s="62"/>
      <c r="G213" s="74"/>
      <c r="H213" s="75"/>
    </row>
    <row r="214" spans="1:8" ht="12.5" x14ac:dyDescent="0.25">
      <c r="A214" s="62"/>
      <c r="B214" s="62"/>
      <c r="C214" s="62"/>
      <c r="D214" s="62"/>
      <c r="E214" s="74"/>
      <c r="F214" s="62"/>
      <c r="G214" s="74"/>
      <c r="H214" s="75"/>
    </row>
    <row r="215" spans="1:8" ht="12.5" x14ac:dyDescent="0.25">
      <c r="A215" s="62"/>
      <c r="B215" s="62"/>
      <c r="C215" s="62"/>
      <c r="D215" s="62"/>
      <c r="E215" s="74"/>
      <c r="F215" s="62"/>
      <c r="G215" s="74"/>
      <c r="H215" s="75"/>
    </row>
    <row r="216" spans="1:8" ht="12.5" x14ac:dyDescent="0.25">
      <c r="A216" s="62"/>
      <c r="B216" s="62"/>
      <c r="C216" s="62"/>
      <c r="D216" s="62"/>
      <c r="E216" s="74"/>
      <c r="F216" s="62"/>
      <c r="G216" s="74"/>
      <c r="H216" s="75"/>
    </row>
    <row r="217" spans="1:8" ht="12.5" x14ac:dyDescent="0.25">
      <c r="A217" s="62"/>
      <c r="B217" s="62"/>
      <c r="C217" s="62"/>
      <c r="D217" s="62"/>
      <c r="E217" s="74"/>
      <c r="F217" s="62"/>
      <c r="G217" s="74"/>
      <c r="H217" s="75"/>
    </row>
    <row r="218" spans="1:8" ht="12.5" x14ac:dyDescent="0.25">
      <c r="A218" s="62"/>
      <c r="B218" s="62"/>
      <c r="C218" s="62"/>
      <c r="D218" s="62"/>
      <c r="E218" s="74"/>
      <c r="F218" s="62"/>
      <c r="G218" s="74"/>
      <c r="H218" s="75"/>
    </row>
    <row r="219" spans="1:8" ht="12.5" x14ac:dyDescent="0.25">
      <c r="A219" s="62"/>
      <c r="B219" s="62"/>
      <c r="C219" s="62"/>
      <c r="D219" s="62"/>
      <c r="E219" s="74"/>
      <c r="F219" s="62"/>
      <c r="G219" s="74"/>
      <c r="H219" s="75"/>
    </row>
    <row r="220" spans="1:8" ht="12.5" x14ac:dyDescent="0.25">
      <c r="A220" s="62"/>
      <c r="B220" s="62"/>
      <c r="C220" s="62"/>
      <c r="D220" s="62"/>
      <c r="E220" s="74"/>
      <c r="F220" s="62"/>
      <c r="G220" s="74"/>
      <c r="H220" s="75"/>
    </row>
    <row r="221" spans="1:8" ht="12.5" x14ac:dyDescent="0.25">
      <c r="A221" s="62"/>
      <c r="B221" s="62"/>
      <c r="C221" s="62"/>
      <c r="D221" s="62"/>
      <c r="E221" s="74"/>
      <c r="F221" s="62"/>
      <c r="G221" s="74"/>
      <c r="H221" s="75"/>
    </row>
    <row r="222" spans="1:8" ht="12.5" x14ac:dyDescent="0.25">
      <c r="A222" s="62"/>
      <c r="B222" s="62"/>
      <c r="C222" s="62"/>
      <c r="D222" s="62"/>
      <c r="E222" s="74"/>
      <c r="F222" s="62"/>
      <c r="G222" s="74"/>
      <c r="H222" s="75"/>
    </row>
    <row r="223" spans="1:8" ht="12.5" x14ac:dyDescent="0.25">
      <c r="A223" s="62"/>
      <c r="B223" s="62"/>
      <c r="C223" s="62"/>
      <c r="D223" s="62"/>
      <c r="E223" s="74"/>
      <c r="F223" s="62"/>
      <c r="G223" s="74"/>
      <c r="H223" s="75"/>
    </row>
    <row r="224" spans="1:8" ht="12.5" x14ac:dyDescent="0.25">
      <c r="A224" s="62"/>
      <c r="B224" s="62"/>
      <c r="C224" s="62"/>
      <c r="D224" s="62"/>
      <c r="E224" s="74"/>
      <c r="F224" s="62"/>
      <c r="G224" s="74"/>
      <c r="H224" s="75"/>
    </row>
    <row r="225" spans="1:8" ht="12.5" x14ac:dyDescent="0.25">
      <c r="A225" s="62"/>
      <c r="B225" s="62"/>
      <c r="C225" s="62"/>
      <c r="D225" s="62"/>
      <c r="E225" s="74"/>
      <c r="F225" s="62"/>
      <c r="G225" s="74"/>
      <c r="H225" s="75"/>
    </row>
    <row r="226" spans="1:8" ht="12.5" x14ac:dyDescent="0.25">
      <c r="A226" s="62"/>
      <c r="B226" s="62"/>
      <c r="C226" s="62"/>
      <c r="D226" s="62"/>
      <c r="E226" s="74"/>
      <c r="F226" s="62"/>
      <c r="G226" s="74"/>
      <c r="H226" s="75"/>
    </row>
    <row r="227" spans="1:8" ht="12.5" x14ac:dyDescent="0.25">
      <c r="A227" s="62"/>
      <c r="B227" s="62"/>
      <c r="C227" s="62"/>
      <c r="D227" s="62"/>
      <c r="E227" s="74"/>
      <c r="F227" s="62"/>
      <c r="G227" s="74"/>
      <c r="H227" s="75"/>
    </row>
    <row r="228" spans="1:8" ht="12.5" x14ac:dyDescent="0.25">
      <c r="A228" s="62"/>
      <c r="B228" s="62"/>
      <c r="C228" s="62"/>
      <c r="D228" s="62"/>
      <c r="E228" s="74"/>
      <c r="F228" s="62"/>
      <c r="G228" s="74"/>
      <c r="H228" s="75"/>
    </row>
    <row r="229" spans="1:8" ht="12.5" x14ac:dyDescent="0.25">
      <c r="A229" s="62"/>
      <c r="B229" s="62"/>
      <c r="C229" s="62"/>
      <c r="D229" s="62"/>
      <c r="E229" s="74"/>
      <c r="F229" s="62"/>
      <c r="G229" s="74"/>
      <c r="H229" s="75"/>
    </row>
    <row r="230" spans="1:8" ht="12.5" x14ac:dyDescent="0.25">
      <c r="A230" s="62"/>
      <c r="B230" s="62"/>
      <c r="C230" s="62"/>
      <c r="D230" s="62"/>
      <c r="E230" s="74"/>
      <c r="F230" s="62"/>
      <c r="G230" s="74"/>
      <c r="H230" s="75"/>
    </row>
    <row r="231" spans="1:8" ht="12.5" x14ac:dyDescent="0.25">
      <c r="A231" s="62"/>
      <c r="B231" s="62"/>
      <c r="C231" s="62"/>
      <c r="D231" s="62"/>
      <c r="E231" s="74"/>
      <c r="F231" s="62"/>
      <c r="G231" s="74"/>
      <c r="H231" s="75"/>
    </row>
    <row r="232" spans="1:8" ht="12.5" x14ac:dyDescent="0.25">
      <c r="A232" s="62"/>
      <c r="B232" s="62"/>
      <c r="C232" s="62"/>
      <c r="D232" s="62"/>
      <c r="E232" s="74"/>
      <c r="F232" s="62"/>
      <c r="G232" s="74"/>
      <c r="H232" s="75"/>
    </row>
    <row r="233" spans="1:8" ht="12.5" x14ac:dyDescent="0.25">
      <c r="A233" s="62"/>
      <c r="B233" s="62"/>
      <c r="C233" s="62"/>
      <c r="D233" s="62"/>
      <c r="E233" s="74"/>
      <c r="F233" s="62"/>
      <c r="G233" s="74"/>
      <c r="H233" s="75"/>
    </row>
    <row r="234" spans="1:8" ht="12.5" x14ac:dyDescent="0.25">
      <c r="A234" s="62"/>
      <c r="B234" s="62"/>
      <c r="C234" s="62"/>
      <c r="D234" s="62"/>
      <c r="E234" s="74"/>
      <c r="F234" s="62"/>
      <c r="G234" s="74"/>
      <c r="H234" s="75"/>
    </row>
    <row r="235" spans="1:8" ht="12.5" x14ac:dyDescent="0.25">
      <c r="A235" s="62"/>
      <c r="B235" s="62"/>
      <c r="C235" s="62"/>
      <c r="D235" s="62"/>
      <c r="E235" s="74"/>
      <c r="F235" s="62"/>
      <c r="G235" s="74"/>
      <c r="H235" s="75"/>
    </row>
    <row r="236" spans="1:8" ht="12.5" x14ac:dyDescent="0.25">
      <c r="A236" s="62"/>
      <c r="B236" s="62"/>
      <c r="C236" s="62"/>
      <c r="D236" s="62"/>
      <c r="E236" s="74"/>
      <c r="F236" s="62"/>
      <c r="G236" s="74"/>
      <c r="H236" s="75"/>
    </row>
    <row r="237" spans="1:8" ht="12.5" x14ac:dyDescent="0.25">
      <c r="A237" s="62"/>
      <c r="B237" s="62"/>
      <c r="C237" s="62"/>
      <c r="D237" s="62"/>
      <c r="E237" s="74"/>
      <c r="F237" s="62"/>
      <c r="G237" s="74"/>
      <c r="H237" s="75"/>
    </row>
    <row r="238" spans="1:8" ht="12.5" x14ac:dyDescent="0.25">
      <c r="A238" s="62"/>
      <c r="B238" s="62"/>
      <c r="C238" s="62"/>
      <c r="D238" s="62"/>
      <c r="E238" s="74"/>
      <c r="F238" s="62"/>
      <c r="G238" s="74"/>
      <c r="H238" s="75"/>
    </row>
    <row r="239" spans="1:8" ht="12.5" x14ac:dyDescent="0.25">
      <c r="A239" s="62"/>
      <c r="B239" s="62"/>
      <c r="C239" s="62"/>
      <c r="D239" s="62"/>
      <c r="E239" s="74"/>
      <c r="F239" s="62"/>
      <c r="G239" s="74"/>
      <c r="H239" s="75"/>
    </row>
    <row r="240" spans="1:8" ht="12.5" x14ac:dyDescent="0.25">
      <c r="A240" s="62"/>
      <c r="B240" s="62"/>
      <c r="C240" s="62"/>
      <c r="D240" s="62"/>
      <c r="E240" s="74"/>
      <c r="F240" s="62"/>
      <c r="G240" s="74"/>
      <c r="H240" s="75"/>
    </row>
    <row r="241" spans="1:8" ht="12.5" x14ac:dyDescent="0.25">
      <c r="A241" s="62"/>
      <c r="B241" s="62"/>
      <c r="C241" s="62"/>
      <c r="D241" s="62"/>
      <c r="E241" s="74"/>
      <c r="F241" s="62"/>
      <c r="G241" s="74"/>
      <c r="H241" s="75"/>
    </row>
    <row r="242" spans="1:8" ht="12.5" x14ac:dyDescent="0.25">
      <c r="A242" s="62"/>
      <c r="B242" s="62"/>
      <c r="C242" s="62"/>
      <c r="D242" s="62"/>
      <c r="E242" s="74"/>
      <c r="F242" s="62"/>
      <c r="G242" s="74"/>
      <c r="H242" s="75"/>
    </row>
    <row r="243" spans="1:8" ht="12.5" x14ac:dyDescent="0.25">
      <c r="A243" s="62"/>
      <c r="B243" s="62"/>
      <c r="C243" s="62"/>
      <c r="D243" s="62"/>
      <c r="E243" s="74"/>
      <c r="F243" s="62"/>
      <c r="G243" s="74"/>
      <c r="H243" s="75"/>
    </row>
    <row r="244" spans="1:8" ht="12.5" x14ac:dyDescent="0.25">
      <c r="A244" s="62"/>
      <c r="B244" s="62"/>
      <c r="C244" s="62"/>
      <c r="D244" s="62"/>
      <c r="E244" s="74"/>
      <c r="F244" s="62"/>
      <c r="G244" s="74"/>
      <c r="H244" s="75"/>
    </row>
    <row r="245" spans="1:8" ht="12.5" x14ac:dyDescent="0.25">
      <c r="A245" s="62"/>
      <c r="B245" s="62"/>
      <c r="C245" s="62"/>
      <c r="D245" s="62"/>
      <c r="E245" s="74"/>
      <c r="F245" s="62"/>
      <c r="G245" s="74"/>
      <c r="H245" s="75"/>
    </row>
    <row r="246" spans="1:8" ht="12.5" x14ac:dyDescent="0.25">
      <c r="A246" s="62"/>
      <c r="B246" s="62"/>
      <c r="C246" s="62"/>
      <c r="D246" s="62"/>
      <c r="E246" s="74"/>
      <c r="F246" s="62"/>
      <c r="G246" s="74"/>
      <c r="H246" s="75"/>
    </row>
    <row r="247" spans="1:8" ht="12.5" x14ac:dyDescent="0.25">
      <c r="A247" s="62"/>
      <c r="B247" s="62"/>
      <c r="C247" s="62"/>
      <c r="D247" s="62"/>
      <c r="E247" s="74"/>
      <c r="F247" s="62"/>
      <c r="G247" s="74"/>
      <c r="H247" s="75"/>
    </row>
    <row r="248" spans="1:8" ht="12.5" x14ac:dyDescent="0.25">
      <c r="A248" s="62"/>
      <c r="B248" s="62"/>
      <c r="C248" s="62"/>
      <c r="D248" s="62"/>
      <c r="E248" s="74"/>
      <c r="F248" s="62"/>
      <c r="G248" s="74"/>
      <c r="H248" s="75"/>
    </row>
    <row r="249" spans="1:8" ht="12.5" x14ac:dyDescent="0.25">
      <c r="A249" s="62"/>
      <c r="B249" s="62"/>
      <c r="C249" s="62"/>
      <c r="D249" s="62"/>
      <c r="E249" s="74"/>
      <c r="F249" s="62"/>
      <c r="G249" s="74"/>
      <c r="H249" s="75"/>
    </row>
    <row r="250" spans="1:8" ht="12.5" x14ac:dyDescent="0.25">
      <c r="A250" s="62"/>
      <c r="B250" s="62"/>
      <c r="C250" s="62"/>
      <c r="D250" s="62"/>
      <c r="E250" s="74"/>
      <c r="F250" s="62"/>
      <c r="G250" s="74"/>
      <c r="H250" s="75"/>
    </row>
    <row r="251" spans="1:8" ht="12.5" x14ac:dyDescent="0.25">
      <c r="A251" s="62"/>
      <c r="B251" s="62"/>
      <c r="C251" s="62"/>
      <c r="D251" s="62"/>
      <c r="E251" s="74"/>
      <c r="F251" s="62"/>
      <c r="G251" s="74"/>
      <c r="H251" s="75"/>
    </row>
    <row r="252" spans="1:8" ht="12.5" x14ac:dyDescent="0.25">
      <c r="A252" s="62"/>
      <c r="B252" s="62"/>
      <c r="C252" s="62"/>
      <c r="D252" s="62"/>
      <c r="E252" s="74"/>
      <c r="F252" s="62"/>
      <c r="G252" s="74"/>
      <c r="H252" s="75"/>
    </row>
    <row r="253" spans="1:8" ht="12.5" x14ac:dyDescent="0.25">
      <c r="A253" s="62"/>
      <c r="B253" s="62"/>
      <c r="C253" s="62"/>
      <c r="D253" s="62"/>
      <c r="E253" s="74"/>
      <c r="F253" s="62"/>
      <c r="G253" s="74"/>
      <c r="H253" s="75"/>
    </row>
    <row r="254" spans="1:8" ht="12.5" x14ac:dyDescent="0.25">
      <c r="A254" s="62"/>
      <c r="B254" s="62"/>
      <c r="C254" s="62"/>
      <c r="D254" s="62"/>
      <c r="E254" s="74"/>
      <c r="F254" s="62"/>
      <c r="G254" s="74"/>
      <c r="H254" s="75"/>
    </row>
    <row r="255" spans="1:8" ht="12.5" x14ac:dyDescent="0.25">
      <c r="A255" s="62"/>
      <c r="B255" s="62"/>
      <c r="C255" s="62"/>
      <c r="D255" s="62"/>
      <c r="E255" s="74"/>
      <c r="F255" s="62"/>
      <c r="G255" s="74"/>
      <c r="H255" s="75"/>
    </row>
    <row r="256" spans="1:8" ht="12.5" x14ac:dyDescent="0.25">
      <c r="A256" s="62"/>
      <c r="B256" s="62"/>
      <c r="C256" s="62"/>
      <c r="D256" s="62"/>
      <c r="E256" s="74"/>
      <c r="F256" s="62"/>
      <c r="G256" s="74"/>
      <c r="H256" s="75"/>
    </row>
    <row r="257" spans="1:8" ht="12.5" x14ac:dyDescent="0.25">
      <c r="A257" s="62"/>
      <c r="B257" s="62"/>
      <c r="C257" s="62"/>
      <c r="D257" s="62"/>
      <c r="E257" s="74"/>
      <c r="F257" s="62"/>
      <c r="G257" s="74"/>
      <c r="H257" s="75"/>
    </row>
    <row r="258" spans="1:8" ht="12.5" x14ac:dyDescent="0.25">
      <c r="A258" s="62"/>
      <c r="B258" s="62"/>
      <c r="C258" s="62"/>
      <c r="D258" s="62"/>
      <c r="E258" s="74"/>
      <c r="F258" s="62"/>
      <c r="G258" s="74"/>
      <c r="H258" s="75"/>
    </row>
    <row r="259" spans="1:8" ht="12.5" x14ac:dyDescent="0.25">
      <c r="A259" s="62"/>
      <c r="B259" s="62"/>
      <c r="C259" s="62"/>
      <c r="D259" s="62"/>
      <c r="E259" s="74"/>
      <c r="F259" s="62"/>
      <c r="G259" s="74"/>
      <c r="H259" s="75"/>
    </row>
    <row r="260" spans="1:8" ht="12.5" x14ac:dyDescent="0.25">
      <c r="A260" s="62"/>
      <c r="B260" s="62"/>
      <c r="C260" s="62"/>
      <c r="D260" s="62"/>
      <c r="E260" s="74"/>
      <c r="F260" s="62"/>
      <c r="G260" s="74"/>
      <c r="H260" s="75"/>
    </row>
    <row r="261" spans="1:8" ht="12.5" x14ac:dyDescent="0.25">
      <c r="A261" s="62"/>
      <c r="B261" s="62"/>
      <c r="C261" s="62"/>
      <c r="D261" s="62"/>
      <c r="E261" s="74"/>
      <c r="F261" s="62"/>
      <c r="G261" s="74"/>
      <c r="H261" s="75"/>
    </row>
    <row r="262" spans="1:8" ht="12.5" x14ac:dyDescent="0.25">
      <c r="A262" s="62"/>
      <c r="B262" s="62"/>
      <c r="C262" s="62"/>
      <c r="D262" s="62"/>
      <c r="E262" s="74"/>
      <c r="F262" s="62"/>
      <c r="G262" s="74"/>
      <c r="H262" s="75"/>
    </row>
    <row r="263" spans="1:8" ht="12.5" x14ac:dyDescent="0.25">
      <c r="A263" s="62"/>
      <c r="B263" s="62"/>
      <c r="C263" s="62"/>
      <c r="D263" s="62"/>
      <c r="E263" s="74"/>
      <c r="F263" s="62"/>
      <c r="G263" s="74"/>
      <c r="H263" s="75"/>
    </row>
    <row r="264" spans="1:8" ht="12.5" x14ac:dyDescent="0.25">
      <c r="A264" s="62"/>
      <c r="B264" s="62"/>
      <c r="C264" s="62"/>
      <c r="D264" s="62"/>
      <c r="E264" s="74"/>
      <c r="F264" s="62"/>
      <c r="G264" s="74"/>
      <c r="H264" s="75"/>
    </row>
    <row r="265" spans="1:8" ht="12.5" x14ac:dyDescent="0.25">
      <c r="A265" s="62"/>
      <c r="B265" s="62"/>
      <c r="C265" s="62"/>
      <c r="D265" s="62"/>
      <c r="E265" s="74"/>
      <c r="F265" s="62"/>
      <c r="G265" s="74"/>
      <c r="H265" s="75"/>
    </row>
    <row r="266" spans="1:8" ht="12.5" x14ac:dyDescent="0.25">
      <c r="A266" s="62"/>
      <c r="B266" s="62"/>
      <c r="C266" s="62"/>
      <c r="D266" s="62"/>
      <c r="E266" s="74"/>
      <c r="F266" s="62"/>
      <c r="G266" s="74"/>
      <c r="H266" s="75"/>
    </row>
    <row r="267" spans="1:8" ht="12.5" x14ac:dyDescent="0.25">
      <c r="A267" s="62"/>
      <c r="B267" s="62"/>
      <c r="C267" s="62"/>
      <c r="D267" s="62"/>
      <c r="E267" s="74"/>
      <c r="F267" s="62"/>
      <c r="G267" s="74"/>
      <c r="H267" s="75"/>
    </row>
    <row r="268" spans="1:8" ht="12.5" x14ac:dyDescent="0.25">
      <c r="A268" s="62"/>
      <c r="B268" s="62"/>
      <c r="C268" s="62"/>
      <c r="D268" s="62"/>
      <c r="E268" s="74"/>
      <c r="F268" s="62"/>
      <c r="G268" s="74"/>
      <c r="H268" s="75"/>
    </row>
    <row r="269" spans="1:8" ht="12.5" x14ac:dyDescent="0.25">
      <c r="A269" s="62"/>
      <c r="B269" s="62"/>
      <c r="C269" s="62"/>
      <c r="D269" s="62"/>
      <c r="E269" s="74"/>
      <c r="F269" s="62"/>
      <c r="G269" s="74"/>
      <c r="H269" s="75"/>
    </row>
    <row r="270" spans="1:8" ht="12.5" x14ac:dyDescent="0.25">
      <c r="A270" s="62"/>
      <c r="B270" s="62"/>
      <c r="C270" s="62"/>
      <c r="D270" s="62"/>
      <c r="E270" s="74"/>
      <c r="F270" s="62"/>
      <c r="G270" s="74"/>
      <c r="H270" s="75"/>
    </row>
    <row r="271" spans="1:8" ht="12.5" x14ac:dyDescent="0.25">
      <c r="A271" s="62"/>
      <c r="B271" s="62"/>
      <c r="C271" s="62"/>
      <c r="D271" s="62"/>
      <c r="E271" s="74"/>
      <c r="F271" s="62"/>
      <c r="G271" s="74"/>
      <c r="H271" s="75"/>
    </row>
    <row r="272" spans="1:8" ht="12.5" x14ac:dyDescent="0.25">
      <c r="A272" s="62"/>
      <c r="B272" s="62"/>
      <c r="C272" s="62"/>
      <c r="D272" s="62"/>
      <c r="E272" s="74"/>
      <c r="F272" s="62"/>
      <c r="G272" s="74"/>
      <c r="H272" s="75"/>
    </row>
    <row r="273" spans="1:8" ht="12.5" x14ac:dyDescent="0.25">
      <c r="A273" s="62"/>
      <c r="B273" s="62"/>
      <c r="C273" s="62"/>
      <c r="D273" s="62"/>
      <c r="E273" s="74"/>
      <c r="F273" s="62"/>
      <c r="G273" s="74"/>
      <c r="H273" s="75"/>
    </row>
    <row r="274" spans="1:8" ht="12.5" x14ac:dyDescent="0.25">
      <c r="A274" s="62"/>
      <c r="B274" s="62"/>
      <c r="C274" s="62"/>
      <c r="D274" s="62"/>
      <c r="E274" s="74"/>
      <c r="F274" s="62"/>
      <c r="G274" s="74"/>
      <c r="H274" s="75"/>
    </row>
    <row r="275" spans="1:8" ht="12.5" x14ac:dyDescent="0.25">
      <c r="A275" s="62"/>
      <c r="B275" s="62"/>
      <c r="C275" s="62"/>
      <c r="D275" s="62"/>
      <c r="E275" s="74"/>
      <c r="F275" s="62"/>
      <c r="G275" s="74"/>
      <c r="H275" s="75"/>
    </row>
    <row r="276" spans="1:8" ht="12.5" x14ac:dyDescent="0.25">
      <c r="A276" s="62"/>
      <c r="B276" s="62"/>
      <c r="C276" s="62"/>
      <c r="D276" s="62"/>
      <c r="E276" s="74"/>
      <c r="F276" s="62"/>
      <c r="G276" s="74"/>
      <c r="H276" s="75"/>
    </row>
    <row r="277" spans="1:8" ht="12.5" x14ac:dyDescent="0.25">
      <c r="A277" s="62"/>
      <c r="B277" s="62"/>
      <c r="C277" s="62"/>
      <c r="D277" s="62"/>
      <c r="E277" s="74"/>
      <c r="F277" s="62"/>
      <c r="G277" s="74"/>
      <c r="H277" s="75"/>
    </row>
    <row r="278" spans="1:8" ht="12.5" x14ac:dyDescent="0.25">
      <c r="A278" s="62"/>
      <c r="B278" s="62"/>
      <c r="C278" s="62"/>
      <c r="D278" s="62"/>
      <c r="E278" s="74"/>
      <c r="F278" s="62"/>
      <c r="G278" s="74"/>
      <c r="H278" s="75"/>
    </row>
    <row r="279" spans="1:8" ht="12.5" x14ac:dyDescent="0.25">
      <c r="A279" s="62"/>
      <c r="B279" s="62"/>
      <c r="C279" s="62"/>
      <c r="D279" s="62"/>
      <c r="E279" s="74"/>
      <c r="F279" s="62"/>
      <c r="G279" s="74"/>
      <c r="H279" s="75"/>
    </row>
    <row r="280" spans="1:8" ht="12.5" x14ac:dyDescent="0.25">
      <c r="A280" s="62"/>
      <c r="B280" s="62"/>
      <c r="C280" s="62"/>
      <c r="D280" s="62"/>
      <c r="E280" s="74"/>
      <c r="F280" s="62"/>
      <c r="G280" s="74"/>
      <c r="H280" s="75"/>
    </row>
    <row r="281" spans="1:8" ht="12.5" x14ac:dyDescent="0.25">
      <c r="A281" s="62"/>
      <c r="B281" s="62"/>
      <c r="C281" s="62"/>
      <c r="D281" s="62"/>
      <c r="E281" s="74"/>
      <c r="F281" s="62"/>
      <c r="G281" s="74"/>
      <c r="H281" s="75"/>
    </row>
    <row r="282" spans="1:8" ht="12.5" x14ac:dyDescent="0.25">
      <c r="A282" s="62"/>
      <c r="B282" s="62"/>
      <c r="C282" s="62"/>
      <c r="D282" s="62"/>
      <c r="E282" s="74"/>
      <c r="F282" s="62"/>
      <c r="G282" s="74"/>
      <c r="H282" s="75"/>
    </row>
    <row r="283" spans="1:8" ht="12.5" x14ac:dyDescent="0.25">
      <c r="A283" s="62"/>
      <c r="B283" s="62"/>
      <c r="C283" s="62"/>
      <c r="D283" s="62"/>
      <c r="E283" s="74"/>
      <c r="F283" s="62"/>
      <c r="G283" s="74"/>
      <c r="H283" s="75"/>
    </row>
    <row r="284" spans="1:8" ht="12.5" x14ac:dyDescent="0.25">
      <c r="A284" s="62"/>
      <c r="B284" s="62"/>
      <c r="C284" s="62"/>
      <c r="D284" s="62"/>
      <c r="E284" s="74"/>
      <c r="F284" s="62"/>
      <c r="G284" s="74"/>
      <c r="H284" s="75"/>
    </row>
    <row r="285" spans="1:8" ht="12.5" x14ac:dyDescent="0.25">
      <c r="A285" s="62"/>
      <c r="B285" s="62"/>
      <c r="C285" s="62"/>
      <c r="D285" s="62"/>
      <c r="E285" s="74"/>
      <c r="F285" s="62"/>
      <c r="G285" s="74"/>
      <c r="H285" s="75"/>
    </row>
    <row r="286" spans="1:8" ht="12.5" x14ac:dyDescent="0.25">
      <c r="A286" s="62"/>
      <c r="B286" s="62"/>
      <c r="C286" s="62"/>
      <c r="D286" s="62"/>
      <c r="E286" s="74"/>
      <c r="F286" s="62"/>
      <c r="G286" s="74"/>
      <c r="H286" s="75"/>
    </row>
    <row r="287" spans="1:8" ht="12.5" x14ac:dyDescent="0.25">
      <c r="A287" s="62"/>
      <c r="B287" s="62"/>
      <c r="C287" s="62"/>
      <c r="D287" s="62"/>
      <c r="E287" s="74"/>
      <c r="F287" s="62"/>
      <c r="G287" s="74"/>
      <c r="H287" s="75"/>
    </row>
    <row r="288" spans="1:8" ht="12.5" x14ac:dyDescent="0.25">
      <c r="A288" s="62"/>
      <c r="B288" s="62"/>
      <c r="C288" s="62"/>
      <c r="D288" s="62"/>
      <c r="E288" s="74"/>
      <c r="F288" s="62"/>
      <c r="G288" s="74"/>
      <c r="H288" s="75"/>
    </row>
    <row r="289" spans="1:8" ht="12.5" x14ac:dyDescent="0.25">
      <c r="A289" s="62"/>
      <c r="B289" s="62"/>
      <c r="C289" s="62"/>
      <c r="D289" s="62"/>
      <c r="E289" s="74"/>
      <c r="F289" s="62"/>
      <c r="G289" s="74"/>
      <c r="H289" s="75"/>
    </row>
    <row r="290" spans="1:8" ht="12.5" x14ac:dyDescent="0.25">
      <c r="A290" s="62"/>
      <c r="B290" s="62"/>
      <c r="C290" s="62"/>
      <c r="D290" s="62"/>
      <c r="E290" s="74"/>
      <c r="F290" s="62"/>
      <c r="G290" s="74"/>
      <c r="H290" s="75"/>
    </row>
    <row r="291" spans="1:8" ht="12.5" x14ac:dyDescent="0.25">
      <c r="A291" s="62"/>
      <c r="B291" s="62"/>
      <c r="C291" s="62"/>
      <c r="D291" s="62"/>
      <c r="E291" s="74"/>
      <c r="F291" s="62"/>
      <c r="G291" s="74"/>
      <c r="H291" s="75"/>
    </row>
    <row r="292" spans="1:8" ht="12.5" x14ac:dyDescent="0.25">
      <c r="A292" s="62"/>
      <c r="B292" s="62"/>
      <c r="C292" s="62"/>
      <c r="D292" s="62"/>
      <c r="E292" s="74"/>
      <c r="F292" s="62"/>
      <c r="G292" s="74"/>
      <c r="H292" s="75"/>
    </row>
    <row r="293" spans="1:8" ht="12.5" x14ac:dyDescent="0.25">
      <c r="A293" s="62"/>
      <c r="B293" s="62"/>
      <c r="C293" s="62"/>
      <c r="D293" s="62"/>
      <c r="E293" s="74"/>
      <c r="F293" s="62"/>
      <c r="G293" s="74"/>
      <c r="H293" s="75"/>
    </row>
    <row r="294" spans="1:8" ht="12.5" x14ac:dyDescent="0.25">
      <c r="A294" s="62"/>
      <c r="B294" s="62"/>
      <c r="C294" s="62"/>
      <c r="D294" s="62"/>
      <c r="E294" s="74"/>
      <c r="F294" s="62"/>
      <c r="G294" s="74"/>
      <c r="H294" s="75"/>
    </row>
    <row r="295" spans="1:8" ht="12.5" x14ac:dyDescent="0.25">
      <c r="A295" s="62"/>
      <c r="B295" s="62"/>
      <c r="C295" s="62"/>
      <c r="D295" s="62"/>
      <c r="E295" s="74"/>
      <c r="F295" s="62"/>
      <c r="G295" s="74"/>
      <c r="H295" s="75"/>
    </row>
    <row r="296" spans="1:8" ht="12.5" x14ac:dyDescent="0.25">
      <c r="A296" s="62"/>
      <c r="B296" s="62"/>
      <c r="C296" s="62"/>
      <c r="D296" s="62"/>
      <c r="E296" s="74"/>
      <c r="F296" s="62"/>
      <c r="G296" s="74"/>
      <c r="H296" s="75"/>
    </row>
    <row r="297" spans="1:8" ht="12.5" x14ac:dyDescent="0.25">
      <c r="A297" s="62"/>
      <c r="B297" s="62"/>
      <c r="C297" s="62"/>
      <c r="D297" s="62"/>
      <c r="E297" s="74"/>
      <c r="F297" s="62"/>
      <c r="G297" s="74"/>
      <c r="H297" s="75"/>
    </row>
    <row r="298" spans="1:8" ht="12.5" x14ac:dyDescent="0.25">
      <c r="A298" s="62"/>
      <c r="B298" s="62"/>
      <c r="C298" s="62"/>
      <c r="D298" s="62"/>
      <c r="E298" s="74"/>
      <c r="F298" s="62"/>
      <c r="G298" s="74"/>
      <c r="H298" s="75"/>
    </row>
    <row r="299" spans="1:8" ht="12.5" x14ac:dyDescent="0.25">
      <c r="A299" s="62"/>
      <c r="B299" s="62"/>
      <c r="C299" s="62"/>
      <c r="D299" s="62"/>
      <c r="E299" s="74"/>
      <c r="F299" s="62"/>
      <c r="G299" s="74"/>
      <c r="H299" s="75"/>
    </row>
    <row r="300" spans="1:8" ht="12.5" x14ac:dyDescent="0.25">
      <c r="A300" s="62"/>
      <c r="B300" s="62"/>
      <c r="C300" s="62"/>
      <c r="D300" s="62"/>
      <c r="E300" s="74"/>
      <c r="F300" s="62"/>
      <c r="G300" s="74"/>
      <c r="H300" s="75"/>
    </row>
    <row r="301" spans="1:8" ht="12.5" x14ac:dyDescent="0.25">
      <c r="A301" s="62"/>
      <c r="B301" s="62"/>
      <c r="C301" s="62"/>
      <c r="D301" s="62"/>
      <c r="E301" s="74"/>
      <c r="F301" s="62"/>
      <c r="G301" s="74"/>
      <c r="H301" s="75"/>
    </row>
    <row r="302" spans="1:8" ht="12.5" x14ac:dyDescent="0.25">
      <c r="A302" s="62"/>
      <c r="B302" s="62"/>
      <c r="C302" s="62"/>
      <c r="D302" s="62"/>
      <c r="E302" s="74"/>
      <c r="F302" s="62"/>
      <c r="G302" s="74"/>
      <c r="H302" s="75"/>
    </row>
    <row r="303" spans="1:8" ht="12.5" x14ac:dyDescent="0.25">
      <c r="A303" s="62"/>
      <c r="B303" s="62"/>
      <c r="C303" s="62"/>
      <c r="D303" s="62"/>
      <c r="E303" s="74"/>
      <c r="F303" s="62"/>
      <c r="G303" s="74"/>
      <c r="H303" s="75"/>
    </row>
    <row r="304" spans="1:8" ht="12.5" x14ac:dyDescent="0.25">
      <c r="A304" s="62"/>
      <c r="B304" s="62"/>
      <c r="C304" s="62"/>
      <c r="D304" s="62"/>
      <c r="E304" s="74"/>
      <c r="F304" s="62"/>
      <c r="G304" s="74"/>
      <c r="H304" s="75"/>
    </row>
    <row r="305" spans="1:8" ht="12.5" x14ac:dyDescent="0.25">
      <c r="A305" s="62"/>
      <c r="B305" s="62"/>
      <c r="C305" s="62"/>
      <c r="D305" s="62"/>
      <c r="E305" s="74"/>
      <c r="F305" s="62"/>
      <c r="G305" s="74"/>
      <c r="H305" s="75"/>
    </row>
    <row r="306" spans="1:8" ht="12.5" x14ac:dyDescent="0.25">
      <c r="A306" s="62"/>
      <c r="B306" s="62"/>
      <c r="C306" s="62"/>
      <c r="D306" s="62"/>
      <c r="E306" s="74"/>
      <c r="F306" s="62"/>
      <c r="G306" s="74"/>
      <c r="H306" s="75"/>
    </row>
    <row r="307" spans="1:8" ht="12.5" x14ac:dyDescent="0.25">
      <c r="A307" s="62"/>
      <c r="B307" s="62"/>
      <c r="C307" s="62"/>
      <c r="D307" s="62"/>
      <c r="E307" s="74"/>
      <c r="F307" s="62"/>
      <c r="G307" s="74"/>
      <c r="H307" s="75"/>
    </row>
    <row r="308" spans="1:8" ht="12.5" x14ac:dyDescent="0.25">
      <c r="A308" s="62"/>
      <c r="B308" s="62"/>
      <c r="C308" s="62"/>
      <c r="D308" s="62"/>
      <c r="E308" s="74"/>
      <c r="F308" s="62"/>
      <c r="G308" s="74"/>
      <c r="H308" s="75"/>
    </row>
    <row r="309" spans="1:8" ht="12.5" x14ac:dyDescent="0.25">
      <c r="A309" s="62"/>
      <c r="B309" s="62"/>
      <c r="C309" s="62"/>
      <c r="D309" s="62"/>
      <c r="E309" s="74"/>
      <c r="F309" s="62"/>
      <c r="G309" s="74"/>
      <c r="H309" s="75"/>
    </row>
    <row r="310" spans="1:8" ht="12.5" x14ac:dyDescent="0.25">
      <c r="A310" s="62"/>
      <c r="B310" s="62"/>
      <c r="C310" s="62"/>
      <c r="D310" s="62"/>
      <c r="E310" s="74"/>
      <c r="F310" s="62"/>
      <c r="G310" s="74"/>
      <c r="H310" s="75"/>
    </row>
    <row r="311" spans="1:8" ht="12.5" x14ac:dyDescent="0.25">
      <c r="A311" s="62"/>
      <c r="B311" s="62"/>
      <c r="C311" s="62"/>
      <c r="D311" s="62"/>
      <c r="E311" s="74"/>
      <c r="F311" s="62"/>
      <c r="G311" s="74"/>
      <c r="H311" s="75"/>
    </row>
    <row r="312" spans="1:8" ht="12.5" x14ac:dyDescent="0.25">
      <c r="A312" s="62"/>
      <c r="B312" s="62"/>
      <c r="C312" s="62"/>
      <c r="D312" s="62"/>
      <c r="E312" s="74"/>
      <c r="F312" s="62"/>
      <c r="G312" s="74"/>
      <c r="H312" s="75"/>
    </row>
    <row r="313" spans="1:8" ht="12.5" x14ac:dyDescent="0.25">
      <c r="A313" s="62"/>
      <c r="B313" s="62"/>
      <c r="C313" s="62"/>
      <c r="D313" s="62"/>
      <c r="E313" s="74"/>
      <c r="F313" s="62"/>
      <c r="G313" s="74"/>
      <c r="H313" s="75"/>
    </row>
    <row r="314" spans="1:8" ht="12.5" x14ac:dyDescent="0.25">
      <c r="A314" s="62"/>
      <c r="B314" s="62"/>
      <c r="C314" s="62"/>
      <c r="D314" s="62"/>
      <c r="E314" s="74"/>
      <c r="F314" s="62"/>
      <c r="G314" s="74"/>
      <c r="H314" s="75"/>
    </row>
    <row r="315" spans="1:8" ht="12.5" x14ac:dyDescent="0.25">
      <c r="A315" s="62"/>
      <c r="B315" s="62"/>
      <c r="C315" s="62"/>
      <c r="D315" s="62"/>
      <c r="E315" s="74"/>
      <c r="F315" s="62"/>
      <c r="G315" s="74"/>
      <c r="H315" s="75"/>
    </row>
    <row r="316" spans="1:8" ht="12.5" x14ac:dyDescent="0.25">
      <c r="A316" s="62"/>
      <c r="B316" s="62"/>
      <c r="C316" s="62"/>
      <c r="D316" s="62"/>
      <c r="E316" s="74"/>
      <c r="F316" s="62"/>
      <c r="G316" s="74"/>
      <c r="H316" s="75"/>
    </row>
    <row r="317" spans="1:8" ht="12.5" x14ac:dyDescent="0.25">
      <c r="A317" s="62"/>
      <c r="B317" s="62"/>
      <c r="C317" s="62"/>
      <c r="D317" s="62"/>
      <c r="E317" s="74"/>
      <c r="F317" s="62"/>
      <c r="G317" s="74"/>
      <c r="H317" s="75"/>
    </row>
    <row r="318" spans="1:8" ht="12.5" x14ac:dyDescent="0.25">
      <c r="A318" s="62"/>
      <c r="B318" s="62"/>
      <c r="C318" s="62"/>
      <c r="D318" s="62"/>
      <c r="E318" s="74"/>
      <c r="F318" s="62"/>
      <c r="G318" s="74"/>
      <c r="H318" s="75"/>
    </row>
    <row r="319" spans="1:8" ht="12.5" x14ac:dyDescent="0.25">
      <c r="A319" s="62"/>
      <c r="B319" s="62"/>
      <c r="C319" s="62"/>
      <c r="D319" s="62"/>
      <c r="E319" s="74"/>
      <c r="F319" s="62"/>
      <c r="G319" s="74"/>
      <c r="H319" s="75"/>
    </row>
    <row r="320" spans="1:8" ht="12.5" x14ac:dyDescent="0.25">
      <c r="A320" s="62"/>
      <c r="B320" s="62"/>
      <c r="C320" s="62"/>
      <c r="D320" s="62"/>
      <c r="E320" s="74"/>
      <c r="F320" s="62"/>
      <c r="G320" s="74"/>
      <c r="H320" s="75"/>
    </row>
    <row r="321" spans="1:8" ht="12.5" x14ac:dyDescent="0.25">
      <c r="A321" s="62"/>
      <c r="B321" s="62"/>
      <c r="C321" s="62"/>
      <c r="D321" s="62"/>
      <c r="E321" s="74"/>
      <c r="F321" s="62"/>
      <c r="G321" s="74"/>
      <c r="H321" s="75"/>
    </row>
    <row r="322" spans="1:8" ht="12.5" x14ac:dyDescent="0.25">
      <c r="A322" s="62"/>
      <c r="B322" s="62"/>
      <c r="C322" s="62"/>
      <c r="D322" s="62"/>
      <c r="E322" s="74"/>
      <c r="F322" s="62"/>
      <c r="G322" s="74"/>
      <c r="H322" s="75"/>
    </row>
    <row r="323" spans="1:8" ht="12.5" x14ac:dyDescent="0.25">
      <c r="A323" s="62"/>
      <c r="B323" s="62"/>
      <c r="C323" s="62"/>
      <c r="D323" s="62"/>
      <c r="E323" s="74"/>
      <c r="F323" s="62"/>
      <c r="G323" s="74"/>
      <c r="H323" s="75"/>
    </row>
    <row r="324" spans="1:8" ht="12.5" x14ac:dyDescent="0.25">
      <c r="A324" s="62"/>
      <c r="B324" s="62"/>
      <c r="C324" s="62"/>
      <c r="D324" s="62"/>
      <c r="E324" s="74"/>
      <c r="F324" s="62"/>
      <c r="G324" s="74"/>
      <c r="H324" s="75"/>
    </row>
    <row r="325" spans="1:8" ht="12.5" x14ac:dyDescent="0.25">
      <c r="A325" s="62"/>
      <c r="B325" s="62"/>
      <c r="C325" s="62"/>
      <c r="D325" s="62"/>
      <c r="E325" s="74"/>
      <c r="F325" s="62"/>
      <c r="G325" s="74"/>
      <c r="H325" s="75"/>
    </row>
    <row r="326" spans="1:8" ht="12.5" x14ac:dyDescent="0.25">
      <c r="A326" s="62"/>
      <c r="B326" s="62"/>
      <c r="C326" s="62"/>
      <c r="D326" s="62"/>
      <c r="E326" s="74"/>
      <c r="F326" s="62"/>
      <c r="G326" s="74"/>
      <c r="H326" s="75"/>
    </row>
    <row r="327" spans="1:8" ht="12.5" x14ac:dyDescent="0.25">
      <c r="A327" s="62"/>
      <c r="B327" s="62"/>
      <c r="C327" s="62"/>
      <c r="D327" s="62"/>
      <c r="E327" s="74"/>
      <c r="F327" s="62"/>
      <c r="G327" s="74"/>
      <c r="H327" s="75"/>
    </row>
    <row r="328" spans="1:8" ht="12.5" x14ac:dyDescent="0.25">
      <c r="A328" s="62"/>
      <c r="B328" s="62"/>
      <c r="C328" s="62"/>
      <c r="D328" s="62"/>
      <c r="E328" s="74"/>
      <c r="F328" s="62"/>
      <c r="G328" s="74"/>
      <c r="H328" s="75"/>
    </row>
    <row r="329" spans="1:8" ht="12.5" x14ac:dyDescent="0.25">
      <c r="A329" s="62"/>
      <c r="B329" s="62"/>
      <c r="C329" s="62"/>
      <c r="D329" s="62"/>
      <c r="E329" s="74"/>
      <c r="F329" s="62"/>
      <c r="G329" s="74"/>
      <c r="H329" s="75"/>
    </row>
    <row r="330" spans="1:8" ht="12.5" x14ac:dyDescent="0.25">
      <c r="A330" s="62"/>
      <c r="B330" s="62"/>
      <c r="C330" s="62"/>
      <c r="D330" s="62"/>
      <c r="E330" s="74"/>
      <c r="F330" s="62"/>
      <c r="G330" s="74"/>
      <c r="H330" s="75"/>
    </row>
    <row r="331" spans="1:8" ht="12.5" x14ac:dyDescent="0.25">
      <c r="A331" s="62"/>
      <c r="B331" s="62"/>
      <c r="C331" s="62"/>
      <c r="D331" s="62"/>
      <c r="E331" s="74"/>
      <c r="F331" s="62"/>
      <c r="G331" s="74"/>
      <c r="H331" s="75"/>
    </row>
    <row r="332" spans="1:8" ht="12.5" x14ac:dyDescent="0.25">
      <c r="A332" s="62"/>
      <c r="B332" s="62"/>
      <c r="C332" s="62"/>
      <c r="D332" s="62"/>
      <c r="E332" s="74"/>
      <c r="F332" s="62"/>
      <c r="G332" s="74"/>
      <c r="H332" s="75"/>
    </row>
    <row r="333" spans="1:8" ht="12.5" x14ac:dyDescent="0.25">
      <c r="A333" s="62"/>
      <c r="B333" s="62"/>
      <c r="C333" s="62"/>
      <c r="D333" s="62"/>
      <c r="E333" s="74"/>
      <c r="F333" s="62"/>
      <c r="G333" s="74"/>
      <c r="H333" s="75"/>
    </row>
    <row r="334" spans="1:8" ht="12.5" x14ac:dyDescent="0.25">
      <c r="A334" s="62"/>
      <c r="B334" s="62"/>
      <c r="C334" s="62"/>
      <c r="D334" s="62"/>
      <c r="E334" s="74"/>
      <c r="F334" s="62"/>
      <c r="G334" s="74"/>
      <c r="H334" s="75"/>
    </row>
    <row r="335" spans="1:8" ht="12.5" x14ac:dyDescent="0.25">
      <c r="A335" s="62"/>
      <c r="B335" s="62"/>
      <c r="C335" s="62"/>
      <c r="D335" s="62"/>
      <c r="E335" s="74"/>
      <c r="F335" s="62"/>
      <c r="G335" s="74"/>
      <c r="H335" s="75"/>
    </row>
    <row r="336" spans="1:8" ht="12.5" x14ac:dyDescent="0.25">
      <c r="A336" s="62"/>
      <c r="B336" s="62"/>
      <c r="C336" s="62"/>
      <c r="D336" s="62"/>
      <c r="E336" s="74"/>
      <c r="F336" s="62"/>
      <c r="G336" s="74"/>
      <c r="H336" s="75"/>
    </row>
    <row r="337" spans="1:8" ht="12.5" x14ac:dyDescent="0.25">
      <c r="A337" s="62"/>
      <c r="B337" s="62"/>
      <c r="C337" s="62"/>
      <c r="D337" s="62"/>
      <c r="E337" s="74"/>
      <c r="F337" s="62"/>
      <c r="G337" s="74"/>
      <c r="H337" s="75"/>
    </row>
    <row r="338" spans="1:8" ht="12.5" x14ac:dyDescent="0.25">
      <c r="A338" s="62"/>
      <c r="B338" s="62"/>
      <c r="C338" s="62"/>
      <c r="D338" s="62"/>
      <c r="E338" s="74"/>
      <c r="F338" s="62"/>
      <c r="G338" s="74"/>
      <c r="H338" s="75"/>
    </row>
    <row r="339" spans="1:8" ht="12.5" x14ac:dyDescent="0.25">
      <c r="A339" s="62"/>
      <c r="B339" s="62"/>
      <c r="C339" s="62"/>
      <c r="D339" s="62"/>
      <c r="E339" s="74"/>
      <c r="F339" s="62"/>
      <c r="G339" s="74"/>
      <c r="H339" s="75"/>
    </row>
    <row r="340" spans="1:8" ht="12.5" x14ac:dyDescent="0.25">
      <c r="A340" s="62"/>
      <c r="B340" s="62"/>
      <c r="C340" s="62"/>
      <c r="D340" s="62"/>
      <c r="E340" s="74"/>
      <c r="F340" s="62"/>
      <c r="G340" s="74"/>
      <c r="H340" s="75"/>
    </row>
    <row r="341" spans="1:8" ht="12.5" x14ac:dyDescent="0.25">
      <c r="A341" s="62"/>
      <c r="B341" s="62"/>
      <c r="C341" s="62"/>
      <c r="D341" s="62"/>
      <c r="E341" s="74"/>
      <c r="F341" s="62"/>
      <c r="G341" s="74"/>
      <c r="H341" s="75"/>
    </row>
    <row r="342" spans="1:8" ht="12.5" x14ac:dyDescent="0.25">
      <c r="A342" s="62"/>
      <c r="B342" s="62"/>
      <c r="C342" s="62"/>
      <c r="D342" s="62"/>
      <c r="E342" s="74"/>
      <c r="F342" s="62"/>
      <c r="G342" s="74"/>
      <c r="H342" s="75"/>
    </row>
    <row r="343" spans="1:8" ht="12.5" x14ac:dyDescent="0.25">
      <c r="A343" s="62"/>
      <c r="B343" s="62"/>
      <c r="C343" s="62"/>
      <c r="D343" s="62"/>
      <c r="E343" s="74"/>
      <c r="F343" s="62"/>
      <c r="G343" s="74"/>
      <c r="H343" s="75"/>
    </row>
    <row r="344" spans="1:8" ht="12.5" x14ac:dyDescent="0.25">
      <c r="A344" s="62"/>
      <c r="B344" s="62"/>
      <c r="C344" s="62"/>
      <c r="D344" s="62"/>
      <c r="E344" s="74"/>
      <c r="F344" s="62"/>
      <c r="G344" s="74"/>
      <c r="H344" s="75"/>
    </row>
    <row r="345" spans="1:8" ht="12.5" x14ac:dyDescent="0.25">
      <c r="A345" s="62"/>
      <c r="B345" s="62"/>
      <c r="C345" s="62"/>
      <c r="D345" s="62"/>
      <c r="E345" s="74"/>
      <c r="F345" s="62"/>
      <c r="G345" s="74"/>
      <c r="H345" s="75"/>
    </row>
    <row r="346" spans="1:8" ht="12.5" x14ac:dyDescent="0.25">
      <c r="A346" s="62"/>
      <c r="B346" s="62"/>
      <c r="C346" s="62"/>
      <c r="D346" s="62"/>
      <c r="E346" s="74"/>
      <c r="F346" s="62"/>
      <c r="G346" s="74"/>
      <c r="H346" s="75"/>
    </row>
    <row r="347" spans="1:8" ht="12.5" x14ac:dyDescent="0.25">
      <c r="A347" s="62"/>
      <c r="B347" s="62"/>
      <c r="C347" s="62"/>
      <c r="D347" s="62"/>
      <c r="E347" s="74"/>
      <c r="F347" s="62"/>
      <c r="G347" s="74"/>
      <c r="H347" s="75"/>
    </row>
    <row r="348" spans="1:8" ht="12.5" x14ac:dyDescent="0.25">
      <c r="A348" s="62"/>
      <c r="B348" s="62"/>
      <c r="C348" s="62"/>
      <c r="D348" s="62"/>
      <c r="E348" s="74"/>
      <c r="F348" s="62"/>
      <c r="G348" s="74"/>
      <c r="H348" s="75"/>
    </row>
    <row r="349" spans="1:8" ht="12.5" x14ac:dyDescent="0.25">
      <c r="A349" s="62"/>
      <c r="B349" s="62"/>
      <c r="C349" s="62"/>
      <c r="D349" s="62"/>
      <c r="E349" s="74"/>
      <c r="F349" s="62"/>
      <c r="G349" s="74"/>
      <c r="H349" s="75"/>
    </row>
    <row r="350" spans="1:8" ht="12.5" x14ac:dyDescent="0.25">
      <c r="A350" s="62"/>
      <c r="B350" s="62"/>
      <c r="C350" s="62"/>
      <c r="D350" s="62"/>
      <c r="E350" s="74"/>
      <c r="F350" s="62"/>
      <c r="G350" s="74"/>
      <c r="H350" s="75"/>
    </row>
    <row r="351" spans="1:8" ht="12.5" x14ac:dyDescent="0.25">
      <c r="A351" s="62"/>
      <c r="B351" s="62"/>
      <c r="C351" s="62"/>
      <c r="D351" s="62"/>
      <c r="E351" s="74"/>
      <c r="F351" s="62"/>
      <c r="G351" s="74"/>
      <c r="H351" s="75"/>
    </row>
    <row r="352" spans="1:8" ht="12.5" x14ac:dyDescent="0.25">
      <c r="A352" s="62"/>
      <c r="B352" s="62"/>
      <c r="C352" s="62"/>
      <c r="D352" s="62"/>
      <c r="E352" s="74"/>
      <c r="F352" s="62"/>
      <c r="G352" s="74"/>
      <c r="H352" s="75"/>
    </row>
    <row r="353" spans="1:8" ht="12.5" x14ac:dyDescent="0.25">
      <c r="A353" s="62"/>
      <c r="B353" s="62"/>
      <c r="C353" s="62"/>
      <c r="D353" s="62"/>
      <c r="E353" s="74"/>
      <c r="F353" s="62"/>
      <c r="G353" s="74"/>
      <c r="H353" s="75"/>
    </row>
    <row r="354" spans="1:8" ht="12.5" x14ac:dyDescent="0.25">
      <c r="A354" s="62"/>
      <c r="B354" s="62"/>
      <c r="C354" s="62"/>
      <c r="D354" s="62"/>
      <c r="E354" s="74"/>
      <c r="F354" s="62"/>
      <c r="G354" s="74"/>
      <c r="H354" s="75"/>
    </row>
    <row r="355" spans="1:8" ht="12.5" x14ac:dyDescent="0.25">
      <c r="A355" s="62"/>
      <c r="B355" s="62"/>
      <c r="C355" s="62"/>
      <c r="D355" s="62"/>
      <c r="E355" s="74"/>
      <c r="F355" s="62"/>
      <c r="G355" s="74"/>
      <c r="H355" s="75"/>
    </row>
    <row r="356" spans="1:8" ht="12.5" x14ac:dyDescent="0.25">
      <c r="A356" s="62"/>
      <c r="B356" s="62"/>
      <c r="C356" s="62"/>
      <c r="D356" s="62"/>
      <c r="E356" s="74"/>
      <c r="F356" s="62"/>
      <c r="G356" s="74"/>
      <c r="H356" s="75"/>
    </row>
    <row r="357" spans="1:8" ht="12.5" x14ac:dyDescent="0.25">
      <c r="A357" s="62"/>
      <c r="B357" s="62"/>
      <c r="C357" s="62"/>
      <c r="D357" s="62"/>
      <c r="E357" s="74"/>
      <c r="F357" s="62"/>
      <c r="G357" s="74"/>
      <c r="H357" s="75"/>
    </row>
    <row r="358" spans="1:8" ht="12.5" x14ac:dyDescent="0.25">
      <c r="A358" s="62"/>
      <c r="B358" s="62"/>
      <c r="C358" s="62"/>
      <c r="D358" s="62"/>
      <c r="E358" s="74"/>
      <c r="F358" s="62"/>
      <c r="G358" s="74"/>
      <c r="H358" s="75"/>
    </row>
    <row r="359" spans="1:8" ht="12.5" x14ac:dyDescent="0.25">
      <c r="A359" s="62"/>
      <c r="B359" s="62"/>
      <c r="C359" s="62"/>
      <c r="D359" s="62"/>
      <c r="E359" s="74"/>
      <c r="F359" s="62"/>
      <c r="G359" s="74"/>
      <c r="H359" s="75"/>
    </row>
    <row r="360" spans="1:8" ht="12.5" x14ac:dyDescent="0.25">
      <c r="A360" s="62"/>
      <c r="B360" s="62"/>
      <c r="C360" s="62"/>
      <c r="D360" s="62"/>
      <c r="E360" s="74"/>
      <c r="F360" s="62"/>
      <c r="G360" s="74"/>
      <c r="H360" s="75"/>
    </row>
    <row r="361" spans="1:8" ht="12.5" x14ac:dyDescent="0.25">
      <c r="A361" s="62"/>
      <c r="B361" s="62"/>
      <c r="C361" s="62"/>
      <c r="D361" s="62"/>
      <c r="E361" s="74"/>
      <c r="F361" s="62"/>
      <c r="G361" s="74"/>
      <c r="H361" s="75"/>
    </row>
    <row r="362" spans="1:8" ht="12.5" x14ac:dyDescent="0.25">
      <c r="A362" s="62"/>
      <c r="B362" s="62"/>
      <c r="C362" s="62"/>
      <c r="D362" s="62"/>
      <c r="E362" s="74"/>
      <c r="F362" s="62"/>
      <c r="G362" s="74"/>
      <c r="H362" s="75"/>
    </row>
    <row r="363" spans="1:8" ht="12.5" x14ac:dyDescent="0.25">
      <c r="A363" s="62"/>
      <c r="B363" s="62"/>
      <c r="C363" s="62"/>
      <c r="D363" s="62"/>
      <c r="E363" s="74"/>
      <c r="F363" s="62"/>
      <c r="G363" s="74"/>
      <c r="H363" s="75"/>
    </row>
    <row r="364" spans="1:8" ht="12.5" x14ac:dyDescent="0.25">
      <c r="A364" s="62"/>
      <c r="B364" s="62"/>
      <c r="C364" s="62"/>
      <c r="D364" s="62"/>
      <c r="E364" s="74"/>
      <c r="F364" s="62"/>
      <c r="G364" s="74"/>
      <c r="H364" s="75"/>
    </row>
    <row r="365" spans="1:8" ht="12.5" x14ac:dyDescent="0.25">
      <c r="A365" s="62"/>
      <c r="B365" s="62"/>
      <c r="C365" s="62"/>
      <c r="D365" s="62"/>
      <c r="E365" s="74"/>
      <c r="F365" s="62"/>
      <c r="G365" s="74"/>
      <c r="H365" s="75"/>
    </row>
    <row r="366" spans="1:8" ht="12.5" x14ac:dyDescent="0.25">
      <c r="A366" s="62"/>
      <c r="B366" s="62"/>
      <c r="C366" s="62"/>
      <c r="D366" s="62"/>
      <c r="E366" s="74"/>
      <c r="F366" s="62"/>
      <c r="G366" s="74"/>
      <c r="H366" s="75"/>
    </row>
    <row r="367" spans="1:8" ht="12.5" x14ac:dyDescent="0.25">
      <c r="A367" s="62"/>
      <c r="B367" s="62"/>
      <c r="C367" s="62"/>
      <c r="D367" s="62"/>
      <c r="E367" s="74"/>
      <c r="F367" s="62"/>
      <c r="G367" s="74"/>
      <c r="H367" s="75"/>
    </row>
    <row r="368" spans="1:8" ht="12.5" x14ac:dyDescent="0.25">
      <c r="A368" s="62"/>
      <c r="B368" s="62"/>
      <c r="C368" s="62"/>
      <c r="D368" s="62"/>
      <c r="E368" s="74"/>
      <c r="F368" s="62"/>
      <c r="G368" s="74"/>
      <c r="H368" s="75"/>
    </row>
    <row r="369" spans="1:8" ht="12.5" x14ac:dyDescent="0.25">
      <c r="A369" s="62"/>
      <c r="B369" s="62"/>
      <c r="C369" s="62"/>
      <c r="D369" s="62"/>
      <c r="E369" s="74"/>
      <c r="F369" s="62"/>
      <c r="G369" s="74"/>
      <c r="H369" s="75"/>
    </row>
    <row r="370" spans="1:8" ht="12.5" x14ac:dyDescent="0.25">
      <c r="A370" s="62"/>
      <c r="B370" s="62"/>
      <c r="C370" s="62"/>
      <c r="D370" s="62"/>
      <c r="E370" s="74"/>
      <c r="F370" s="62"/>
      <c r="G370" s="74"/>
      <c r="H370" s="75"/>
    </row>
    <row r="371" spans="1:8" ht="12.5" x14ac:dyDescent="0.25">
      <c r="A371" s="62"/>
      <c r="B371" s="62"/>
      <c r="C371" s="62"/>
      <c r="D371" s="62"/>
      <c r="E371" s="74"/>
      <c r="F371" s="62"/>
      <c r="G371" s="74"/>
      <c r="H371" s="75"/>
    </row>
    <row r="372" spans="1:8" ht="12.5" x14ac:dyDescent="0.25">
      <c r="A372" s="62"/>
      <c r="B372" s="62"/>
      <c r="C372" s="62"/>
      <c r="D372" s="62"/>
      <c r="E372" s="74"/>
      <c r="F372" s="62"/>
      <c r="G372" s="74"/>
      <c r="H372" s="75"/>
    </row>
    <row r="373" spans="1:8" ht="12.5" x14ac:dyDescent="0.25">
      <c r="A373" s="62"/>
      <c r="B373" s="62"/>
      <c r="C373" s="62"/>
      <c r="D373" s="62"/>
      <c r="E373" s="74"/>
      <c r="F373" s="62"/>
      <c r="G373" s="74"/>
      <c r="H373" s="75"/>
    </row>
    <row r="374" spans="1:8" ht="12.5" x14ac:dyDescent="0.25">
      <c r="A374" s="62"/>
      <c r="B374" s="62"/>
      <c r="C374" s="62"/>
      <c r="D374" s="62"/>
      <c r="E374" s="74"/>
      <c r="F374" s="62"/>
      <c r="G374" s="74"/>
      <c r="H374" s="75"/>
    </row>
    <row r="375" spans="1:8" ht="12.5" x14ac:dyDescent="0.25">
      <c r="A375" s="62"/>
      <c r="B375" s="62"/>
      <c r="C375" s="62"/>
      <c r="D375" s="62"/>
      <c r="E375" s="74"/>
      <c r="F375" s="62"/>
      <c r="G375" s="74"/>
      <c r="H375" s="75"/>
    </row>
    <row r="376" spans="1:8" ht="12.5" x14ac:dyDescent="0.25">
      <c r="A376" s="62"/>
      <c r="B376" s="62"/>
      <c r="C376" s="62"/>
      <c r="D376" s="62"/>
      <c r="E376" s="74"/>
      <c r="F376" s="62"/>
      <c r="G376" s="74"/>
      <c r="H376" s="75"/>
    </row>
    <row r="377" spans="1:8" ht="12.5" x14ac:dyDescent="0.25">
      <c r="A377" s="62"/>
      <c r="B377" s="62"/>
      <c r="C377" s="62"/>
      <c r="D377" s="62"/>
      <c r="E377" s="74"/>
      <c r="F377" s="62"/>
      <c r="G377" s="74"/>
      <c r="H377" s="75"/>
    </row>
    <row r="378" spans="1:8" ht="12.5" x14ac:dyDescent="0.25">
      <c r="A378" s="62"/>
      <c r="B378" s="62"/>
      <c r="C378" s="62"/>
      <c r="D378" s="62"/>
      <c r="E378" s="74"/>
      <c r="F378" s="62"/>
      <c r="G378" s="74"/>
      <c r="H378" s="75"/>
    </row>
    <row r="379" spans="1:8" ht="12.5" x14ac:dyDescent="0.25">
      <c r="A379" s="62"/>
      <c r="B379" s="62"/>
      <c r="C379" s="62"/>
      <c r="D379" s="62"/>
      <c r="E379" s="74"/>
      <c r="F379" s="62"/>
      <c r="G379" s="74"/>
      <c r="H379" s="75"/>
    </row>
    <row r="380" spans="1:8" ht="12.5" x14ac:dyDescent="0.25">
      <c r="A380" s="62"/>
      <c r="B380" s="62"/>
      <c r="C380" s="62"/>
      <c r="D380" s="62"/>
      <c r="E380" s="74"/>
      <c r="F380" s="62"/>
      <c r="G380" s="74"/>
      <c r="H380" s="75"/>
    </row>
    <row r="381" spans="1:8" ht="12.5" x14ac:dyDescent="0.25">
      <c r="A381" s="62"/>
      <c r="B381" s="62"/>
      <c r="C381" s="62"/>
      <c r="D381" s="62"/>
      <c r="E381" s="74"/>
      <c r="F381" s="62"/>
      <c r="G381" s="74"/>
      <c r="H381" s="75"/>
    </row>
    <row r="382" spans="1:8" ht="12.5" x14ac:dyDescent="0.25">
      <c r="A382" s="62"/>
      <c r="B382" s="62"/>
      <c r="C382" s="62"/>
      <c r="D382" s="62"/>
      <c r="E382" s="74"/>
      <c r="F382" s="62"/>
      <c r="G382" s="74"/>
      <c r="H382" s="75"/>
    </row>
    <row r="383" spans="1:8" ht="12.5" x14ac:dyDescent="0.25">
      <c r="A383" s="62"/>
      <c r="B383" s="62"/>
      <c r="C383" s="62"/>
      <c r="D383" s="62"/>
      <c r="E383" s="74"/>
      <c r="F383" s="62"/>
      <c r="G383" s="74"/>
      <c r="H383" s="75"/>
    </row>
    <row r="384" spans="1:8" ht="12.5" x14ac:dyDescent="0.25">
      <c r="A384" s="62"/>
      <c r="B384" s="62"/>
      <c r="C384" s="62"/>
      <c r="D384" s="62"/>
      <c r="E384" s="74"/>
      <c r="F384" s="62"/>
      <c r="G384" s="74"/>
      <c r="H384" s="75"/>
    </row>
    <row r="385" spans="1:8" ht="12.5" x14ac:dyDescent="0.25">
      <c r="A385" s="62"/>
      <c r="B385" s="62"/>
      <c r="C385" s="62"/>
      <c r="D385" s="62"/>
      <c r="E385" s="74"/>
      <c r="F385" s="62"/>
      <c r="G385" s="74"/>
      <c r="H385" s="75"/>
    </row>
    <row r="386" spans="1:8" ht="12.5" x14ac:dyDescent="0.25">
      <c r="A386" s="62"/>
      <c r="B386" s="62"/>
      <c r="C386" s="62"/>
      <c r="D386" s="62"/>
      <c r="E386" s="74"/>
      <c r="F386" s="62"/>
      <c r="G386" s="74"/>
      <c r="H386" s="75"/>
    </row>
    <row r="387" spans="1:8" ht="12.5" x14ac:dyDescent="0.25">
      <c r="A387" s="62"/>
      <c r="B387" s="62"/>
      <c r="C387" s="62"/>
      <c r="D387" s="62"/>
      <c r="E387" s="74"/>
      <c r="F387" s="62"/>
      <c r="G387" s="74"/>
      <c r="H387" s="75"/>
    </row>
    <row r="388" spans="1:8" ht="12.5" x14ac:dyDescent="0.25">
      <c r="A388" s="62"/>
      <c r="B388" s="62"/>
      <c r="C388" s="62"/>
      <c r="D388" s="62"/>
      <c r="E388" s="74"/>
      <c r="F388" s="62"/>
      <c r="G388" s="74"/>
      <c r="H388" s="75"/>
    </row>
    <row r="389" spans="1:8" ht="12.5" x14ac:dyDescent="0.25">
      <c r="A389" s="62"/>
      <c r="B389" s="62"/>
      <c r="C389" s="62"/>
      <c r="D389" s="62"/>
      <c r="E389" s="74"/>
      <c r="F389" s="62"/>
      <c r="G389" s="74"/>
      <c r="H389" s="75"/>
    </row>
    <row r="390" spans="1:8" ht="12.5" x14ac:dyDescent="0.25">
      <c r="A390" s="62"/>
      <c r="B390" s="62"/>
      <c r="C390" s="62"/>
      <c r="D390" s="62"/>
      <c r="E390" s="74"/>
      <c r="F390" s="62"/>
      <c r="G390" s="74"/>
      <c r="H390" s="75"/>
    </row>
    <row r="391" spans="1:8" ht="12.5" x14ac:dyDescent="0.25">
      <c r="A391" s="62"/>
      <c r="B391" s="62"/>
      <c r="C391" s="62"/>
      <c r="D391" s="62"/>
      <c r="E391" s="74"/>
      <c r="F391" s="62"/>
      <c r="G391" s="74"/>
      <c r="H391" s="75"/>
    </row>
    <row r="392" spans="1:8" ht="12.5" x14ac:dyDescent="0.25">
      <c r="A392" s="62"/>
      <c r="B392" s="62"/>
      <c r="C392" s="62"/>
      <c r="D392" s="62"/>
      <c r="E392" s="74"/>
      <c r="F392" s="62"/>
      <c r="G392" s="74"/>
      <c r="H392" s="75"/>
    </row>
    <row r="393" spans="1:8" ht="12.5" x14ac:dyDescent="0.25">
      <c r="A393" s="62"/>
      <c r="B393" s="62"/>
      <c r="C393" s="62"/>
      <c r="D393" s="62"/>
      <c r="E393" s="74"/>
      <c r="F393" s="62"/>
      <c r="G393" s="74"/>
      <c r="H393" s="75"/>
    </row>
    <row r="394" spans="1:8" ht="12.5" x14ac:dyDescent="0.25">
      <c r="A394" s="62"/>
      <c r="B394" s="62"/>
      <c r="C394" s="62"/>
      <c r="D394" s="62"/>
      <c r="E394" s="74"/>
      <c r="F394" s="62"/>
      <c r="G394" s="74"/>
      <c r="H394" s="75"/>
    </row>
    <row r="395" spans="1:8" ht="12.5" x14ac:dyDescent="0.25">
      <c r="A395" s="62"/>
      <c r="B395" s="62"/>
      <c r="C395" s="62"/>
      <c r="D395" s="62"/>
      <c r="E395" s="74"/>
      <c r="F395" s="62"/>
      <c r="G395" s="74"/>
      <c r="H395" s="75"/>
    </row>
    <row r="396" spans="1:8" ht="12.5" x14ac:dyDescent="0.25">
      <c r="A396" s="62"/>
      <c r="B396" s="62"/>
      <c r="C396" s="62"/>
      <c r="D396" s="62"/>
      <c r="E396" s="74"/>
      <c r="F396" s="62"/>
      <c r="G396" s="74"/>
      <c r="H396" s="75"/>
    </row>
    <row r="397" spans="1:8" ht="12.5" x14ac:dyDescent="0.25">
      <c r="A397" s="62"/>
      <c r="B397" s="62"/>
      <c r="C397" s="62"/>
      <c r="D397" s="62"/>
      <c r="E397" s="74"/>
      <c r="F397" s="62"/>
      <c r="G397" s="74"/>
      <c r="H397" s="75"/>
    </row>
    <row r="398" spans="1:8" ht="12.5" x14ac:dyDescent="0.25">
      <c r="A398" s="62"/>
      <c r="B398" s="62"/>
      <c r="C398" s="62"/>
      <c r="D398" s="62"/>
      <c r="E398" s="74"/>
      <c r="F398" s="62"/>
      <c r="G398" s="74"/>
      <c r="H398" s="75"/>
    </row>
    <row r="399" spans="1:8" ht="12.5" x14ac:dyDescent="0.25">
      <c r="A399" s="62"/>
      <c r="B399" s="62"/>
      <c r="C399" s="62"/>
      <c r="D399" s="62"/>
      <c r="E399" s="74"/>
      <c r="F399" s="62"/>
      <c r="G399" s="74"/>
      <c r="H399" s="75"/>
    </row>
    <row r="400" spans="1:8" ht="12.5" x14ac:dyDescent="0.25">
      <c r="A400" s="62"/>
      <c r="B400" s="62"/>
      <c r="C400" s="62"/>
      <c r="D400" s="62"/>
      <c r="E400" s="74"/>
      <c r="F400" s="62"/>
      <c r="G400" s="74"/>
      <c r="H400" s="75"/>
    </row>
    <row r="401" spans="1:8" ht="12.5" x14ac:dyDescent="0.25">
      <c r="A401" s="62"/>
      <c r="B401" s="62"/>
      <c r="C401" s="62"/>
      <c r="D401" s="62"/>
      <c r="E401" s="74"/>
      <c r="F401" s="62"/>
      <c r="G401" s="74"/>
      <c r="H401" s="75"/>
    </row>
    <row r="402" spans="1:8" ht="12.5" x14ac:dyDescent="0.25">
      <c r="A402" s="62"/>
      <c r="B402" s="62"/>
      <c r="C402" s="62"/>
      <c r="D402" s="62"/>
      <c r="E402" s="74"/>
      <c r="F402" s="62"/>
      <c r="G402" s="74"/>
      <c r="H402" s="75"/>
    </row>
    <row r="403" spans="1:8" ht="12.5" x14ac:dyDescent="0.25">
      <c r="A403" s="62"/>
      <c r="B403" s="62"/>
      <c r="C403" s="62"/>
      <c r="D403" s="62"/>
      <c r="E403" s="74"/>
      <c r="F403" s="62"/>
      <c r="G403" s="74"/>
      <c r="H403" s="75"/>
    </row>
    <row r="404" spans="1:8" ht="12.5" x14ac:dyDescent="0.25">
      <c r="A404" s="62"/>
      <c r="B404" s="62"/>
      <c r="C404" s="62"/>
      <c r="D404" s="62"/>
      <c r="E404" s="74"/>
      <c r="F404" s="62"/>
      <c r="G404" s="74"/>
      <c r="H404" s="75"/>
    </row>
    <row r="405" spans="1:8" ht="12.5" x14ac:dyDescent="0.25">
      <c r="A405" s="62"/>
      <c r="B405" s="62"/>
      <c r="C405" s="62"/>
      <c r="D405" s="62"/>
      <c r="E405" s="74"/>
      <c r="F405" s="62"/>
      <c r="G405" s="74"/>
      <c r="H405" s="75"/>
    </row>
    <row r="406" spans="1:8" ht="12.5" x14ac:dyDescent="0.25">
      <c r="A406" s="62"/>
      <c r="B406" s="62"/>
      <c r="C406" s="62"/>
      <c r="D406" s="62"/>
      <c r="E406" s="74"/>
      <c r="F406" s="62"/>
      <c r="G406" s="74"/>
      <c r="H406" s="75"/>
    </row>
    <row r="407" spans="1:8" ht="12.5" x14ac:dyDescent="0.25">
      <c r="A407" s="62"/>
      <c r="B407" s="62"/>
      <c r="C407" s="62"/>
      <c r="D407" s="62"/>
      <c r="E407" s="74"/>
      <c r="F407" s="62"/>
      <c r="G407" s="74"/>
      <c r="H407" s="75"/>
    </row>
    <row r="408" spans="1:8" ht="12.5" x14ac:dyDescent="0.25">
      <c r="A408" s="62"/>
      <c r="B408" s="62"/>
      <c r="C408" s="62"/>
      <c r="D408" s="62"/>
      <c r="E408" s="74"/>
      <c r="F408" s="62"/>
      <c r="G408" s="74"/>
      <c r="H408" s="75"/>
    </row>
    <row r="409" spans="1:8" ht="12.5" x14ac:dyDescent="0.25">
      <c r="A409" s="62"/>
      <c r="B409" s="62"/>
      <c r="C409" s="62"/>
      <c r="D409" s="62"/>
      <c r="E409" s="74"/>
      <c r="F409" s="62"/>
      <c r="G409" s="74"/>
      <c r="H409" s="75"/>
    </row>
    <row r="410" spans="1:8" ht="12.5" x14ac:dyDescent="0.25">
      <c r="A410" s="62"/>
      <c r="B410" s="62"/>
      <c r="C410" s="62"/>
      <c r="D410" s="62"/>
      <c r="E410" s="74"/>
      <c r="F410" s="62"/>
      <c r="G410" s="74"/>
      <c r="H410" s="75"/>
    </row>
    <row r="411" spans="1:8" ht="12.5" x14ac:dyDescent="0.25">
      <c r="A411" s="62"/>
      <c r="B411" s="62"/>
      <c r="C411" s="62"/>
      <c r="D411" s="62"/>
      <c r="E411" s="74"/>
      <c r="F411" s="62"/>
      <c r="G411" s="74"/>
      <c r="H411" s="75"/>
    </row>
    <row r="412" spans="1:8" ht="12.5" x14ac:dyDescent="0.25">
      <c r="A412" s="62"/>
      <c r="B412" s="62"/>
      <c r="C412" s="62"/>
      <c r="D412" s="62"/>
      <c r="E412" s="74"/>
      <c r="F412" s="62"/>
      <c r="G412" s="74"/>
      <c r="H412" s="75"/>
    </row>
    <row r="413" spans="1:8" ht="12.5" x14ac:dyDescent="0.25">
      <c r="A413" s="62"/>
      <c r="B413" s="62"/>
      <c r="C413" s="62"/>
      <c r="D413" s="62"/>
      <c r="E413" s="74"/>
      <c r="F413" s="62"/>
      <c r="G413" s="74"/>
      <c r="H413" s="75"/>
    </row>
    <row r="414" spans="1:8" ht="12.5" x14ac:dyDescent="0.25">
      <c r="A414" s="62"/>
      <c r="B414" s="62"/>
      <c r="C414" s="62"/>
      <c r="D414" s="62"/>
      <c r="E414" s="74"/>
      <c r="F414" s="62"/>
      <c r="G414" s="74"/>
      <c r="H414" s="75"/>
    </row>
    <row r="415" spans="1:8" ht="12.5" x14ac:dyDescent="0.25">
      <c r="A415" s="62"/>
      <c r="B415" s="62"/>
      <c r="C415" s="62"/>
      <c r="D415" s="62"/>
      <c r="E415" s="74"/>
      <c r="F415" s="62"/>
      <c r="G415" s="74"/>
      <c r="H415" s="75"/>
    </row>
    <row r="416" spans="1:8" ht="12.5" x14ac:dyDescent="0.25">
      <c r="A416" s="62"/>
      <c r="B416" s="62"/>
      <c r="C416" s="62"/>
      <c r="D416" s="62"/>
      <c r="E416" s="74"/>
      <c r="F416" s="62"/>
      <c r="G416" s="74"/>
      <c r="H416" s="75"/>
    </row>
    <row r="417" spans="1:8" ht="12.5" x14ac:dyDescent="0.25">
      <c r="A417" s="62"/>
      <c r="B417" s="62"/>
      <c r="C417" s="62"/>
      <c r="D417" s="62"/>
      <c r="E417" s="74"/>
      <c r="F417" s="62"/>
      <c r="G417" s="74"/>
      <c r="H417" s="75"/>
    </row>
    <row r="418" spans="1:8" ht="12.5" x14ac:dyDescent="0.25">
      <c r="A418" s="62"/>
      <c r="B418" s="62"/>
      <c r="C418" s="62"/>
      <c r="D418" s="62"/>
      <c r="E418" s="74"/>
      <c r="F418" s="62"/>
      <c r="G418" s="74"/>
      <c r="H418" s="75"/>
    </row>
    <row r="419" spans="1:8" ht="12.5" x14ac:dyDescent="0.25">
      <c r="A419" s="62"/>
      <c r="B419" s="62"/>
      <c r="C419" s="62"/>
      <c r="D419" s="62"/>
      <c r="E419" s="74"/>
      <c r="F419" s="62"/>
      <c r="G419" s="74"/>
      <c r="H419" s="75"/>
    </row>
    <row r="420" spans="1:8" ht="12.5" x14ac:dyDescent="0.25">
      <c r="A420" s="62"/>
      <c r="B420" s="62"/>
      <c r="C420" s="62"/>
      <c r="D420" s="62"/>
      <c r="E420" s="74"/>
      <c r="F420" s="62"/>
      <c r="G420" s="74"/>
      <c r="H420" s="75"/>
    </row>
    <row r="421" spans="1:8" ht="12.5" x14ac:dyDescent="0.25">
      <c r="A421" s="62"/>
      <c r="B421" s="62"/>
      <c r="C421" s="62"/>
      <c r="D421" s="62"/>
      <c r="E421" s="74"/>
      <c r="F421" s="62"/>
      <c r="G421" s="74"/>
      <c r="H421" s="75"/>
    </row>
    <row r="422" spans="1:8" ht="12.5" x14ac:dyDescent="0.25">
      <c r="A422" s="62"/>
      <c r="B422" s="62"/>
      <c r="C422" s="62"/>
      <c r="D422" s="62"/>
      <c r="E422" s="74"/>
      <c r="F422" s="62"/>
      <c r="G422" s="74"/>
      <c r="H422" s="75"/>
    </row>
    <row r="423" spans="1:8" ht="12.5" x14ac:dyDescent="0.25">
      <c r="A423" s="62"/>
      <c r="B423" s="62"/>
      <c r="C423" s="62"/>
      <c r="D423" s="62"/>
      <c r="E423" s="74"/>
      <c r="F423" s="62"/>
      <c r="G423" s="74"/>
      <c r="H423" s="75"/>
    </row>
    <row r="424" spans="1:8" ht="12.5" x14ac:dyDescent="0.25">
      <c r="A424" s="62"/>
      <c r="B424" s="62"/>
      <c r="C424" s="62"/>
      <c r="D424" s="62"/>
      <c r="E424" s="74"/>
      <c r="F424" s="62"/>
      <c r="G424" s="74"/>
      <c r="H424" s="75"/>
    </row>
    <row r="425" spans="1:8" ht="12.5" x14ac:dyDescent="0.25">
      <c r="A425" s="62"/>
      <c r="B425" s="62"/>
      <c r="C425" s="62"/>
      <c r="D425" s="62"/>
      <c r="E425" s="74"/>
      <c r="F425" s="62"/>
      <c r="G425" s="74"/>
      <c r="H425" s="75"/>
    </row>
    <row r="426" spans="1:8" ht="12.5" x14ac:dyDescent="0.25">
      <c r="A426" s="62"/>
      <c r="B426" s="62"/>
      <c r="C426" s="62"/>
      <c r="D426" s="62"/>
      <c r="E426" s="74"/>
      <c r="F426" s="62"/>
      <c r="G426" s="74"/>
      <c r="H426" s="75"/>
    </row>
    <row r="427" spans="1:8" ht="12.5" x14ac:dyDescent="0.25">
      <c r="A427" s="62"/>
      <c r="B427" s="62"/>
      <c r="C427" s="62"/>
      <c r="D427" s="62"/>
      <c r="E427" s="74"/>
      <c r="F427" s="62"/>
      <c r="G427" s="74"/>
      <c r="H427" s="75"/>
    </row>
    <row r="428" spans="1:8" ht="12.5" x14ac:dyDescent="0.25">
      <c r="A428" s="62"/>
      <c r="B428" s="62"/>
      <c r="C428" s="62"/>
      <c r="D428" s="62"/>
      <c r="E428" s="74"/>
      <c r="F428" s="62"/>
      <c r="G428" s="74"/>
      <c r="H428" s="75"/>
    </row>
    <row r="429" spans="1:8" ht="12.5" x14ac:dyDescent="0.25">
      <c r="A429" s="62"/>
      <c r="B429" s="62"/>
      <c r="C429" s="62"/>
      <c r="D429" s="62"/>
      <c r="E429" s="74"/>
      <c r="F429" s="62"/>
      <c r="G429" s="74"/>
      <c r="H429" s="75"/>
    </row>
    <row r="430" spans="1:8" ht="12.5" x14ac:dyDescent="0.25">
      <c r="A430" s="62"/>
      <c r="B430" s="62"/>
      <c r="C430" s="62"/>
      <c r="D430" s="62"/>
      <c r="E430" s="74"/>
      <c r="F430" s="62"/>
      <c r="G430" s="74"/>
      <c r="H430" s="75"/>
    </row>
    <row r="431" spans="1:8" ht="12.5" x14ac:dyDescent="0.25">
      <c r="A431" s="62"/>
      <c r="B431" s="62"/>
      <c r="C431" s="62"/>
      <c r="D431" s="62"/>
      <c r="E431" s="74"/>
      <c r="F431" s="62"/>
      <c r="G431" s="74"/>
      <c r="H431" s="75"/>
    </row>
    <row r="432" spans="1:8" ht="12.5" x14ac:dyDescent="0.25">
      <c r="A432" s="62"/>
      <c r="B432" s="62"/>
      <c r="C432" s="62"/>
      <c r="D432" s="62"/>
      <c r="E432" s="74"/>
      <c r="F432" s="62"/>
      <c r="G432" s="74"/>
      <c r="H432" s="75"/>
    </row>
    <row r="433" spans="1:8" ht="12.5" x14ac:dyDescent="0.25">
      <c r="A433" s="62"/>
      <c r="B433" s="62"/>
      <c r="C433" s="62"/>
      <c r="D433" s="62"/>
      <c r="E433" s="74"/>
      <c r="F433" s="62"/>
      <c r="G433" s="74"/>
      <c r="H433" s="75"/>
    </row>
    <row r="434" spans="1:8" ht="12.5" x14ac:dyDescent="0.25">
      <c r="A434" s="62"/>
      <c r="B434" s="62"/>
      <c r="C434" s="62"/>
      <c r="D434" s="62"/>
      <c r="E434" s="74"/>
      <c r="F434" s="62"/>
      <c r="G434" s="74"/>
      <c r="H434" s="75"/>
    </row>
    <row r="435" spans="1:8" ht="12.5" x14ac:dyDescent="0.25">
      <c r="A435" s="62"/>
      <c r="B435" s="62"/>
      <c r="C435" s="62"/>
      <c r="D435" s="62"/>
      <c r="E435" s="74"/>
      <c r="F435" s="62"/>
      <c r="G435" s="74"/>
      <c r="H435" s="75"/>
    </row>
    <row r="436" spans="1:8" ht="12.5" x14ac:dyDescent="0.25">
      <c r="A436" s="62"/>
      <c r="B436" s="62"/>
      <c r="C436" s="62"/>
      <c r="D436" s="62"/>
      <c r="E436" s="74"/>
      <c r="F436" s="62"/>
      <c r="G436" s="74"/>
      <c r="H436" s="75"/>
    </row>
    <row r="437" spans="1:8" ht="12.5" x14ac:dyDescent="0.25">
      <c r="A437" s="62"/>
      <c r="B437" s="62"/>
      <c r="C437" s="62"/>
      <c r="D437" s="62"/>
      <c r="E437" s="74"/>
      <c r="F437" s="62"/>
      <c r="G437" s="74"/>
      <c r="H437" s="75"/>
    </row>
    <row r="438" spans="1:8" ht="12.5" x14ac:dyDescent="0.25">
      <c r="A438" s="62"/>
      <c r="B438" s="62"/>
      <c r="C438" s="62"/>
      <c r="D438" s="62"/>
      <c r="E438" s="74"/>
      <c r="F438" s="62"/>
      <c r="G438" s="74"/>
      <c r="H438" s="75"/>
    </row>
    <row r="439" spans="1:8" ht="12.5" x14ac:dyDescent="0.25">
      <c r="A439" s="62"/>
      <c r="B439" s="62"/>
      <c r="C439" s="62"/>
      <c r="D439" s="62"/>
      <c r="E439" s="74"/>
      <c r="F439" s="62"/>
      <c r="G439" s="74"/>
      <c r="H439" s="75"/>
    </row>
    <row r="440" spans="1:8" ht="12.5" x14ac:dyDescent="0.25">
      <c r="A440" s="62"/>
      <c r="B440" s="62"/>
      <c r="C440" s="62"/>
      <c r="D440" s="62"/>
      <c r="E440" s="74"/>
      <c r="F440" s="62"/>
      <c r="G440" s="74"/>
      <c r="H440" s="75"/>
    </row>
    <row r="441" spans="1:8" ht="12.5" x14ac:dyDescent="0.25">
      <c r="A441" s="62"/>
      <c r="B441" s="62"/>
      <c r="C441" s="62"/>
      <c r="D441" s="62"/>
      <c r="E441" s="74"/>
      <c r="F441" s="62"/>
      <c r="G441" s="74"/>
      <c r="H441" s="75"/>
    </row>
    <row r="442" spans="1:8" ht="12.5" x14ac:dyDescent="0.25">
      <c r="A442" s="62"/>
      <c r="B442" s="62"/>
      <c r="C442" s="62"/>
      <c r="D442" s="62"/>
      <c r="E442" s="74"/>
      <c r="F442" s="62"/>
      <c r="G442" s="74"/>
      <c r="H442" s="75"/>
    </row>
    <row r="443" spans="1:8" ht="12.5" x14ac:dyDescent="0.25">
      <c r="A443" s="62"/>
      <c r="B443" s="62"/>
      <c r="C443" s="62"/>
      <c r="D443" s="62"/>
      <c r="E443" s="74"/>
      <c r="F443" s="62"/>
      <c r="G443" s="74"/>
      <c r="H443" s="75"/>
    </row>
    <row r="444" spans="1:8" ht="12.5" x14ac:dyDescent="0.25">
      <c r="A444" s="62"/>
      <c r="B444" s="62"/>
      <c r="C444" s="62"/>
      <c r="D444" s="62"/>
      <c r="E444" s="74"/>
      <c r="F444" s="62"/>
      <c r="G444" s="74"/>
      <c r="H444" s="75"/>
    </row>
    <row r="445" spans="1:8" ht="12.5" x14ac:dyDescent="0.25">
      <c r="A445" s="62"/>
      <c r="B445" s="62"/>
      <c r="C445" s="62"/>
      <c r="D445" s="62"/>
      <c r="E445" s="74"/>
      <c r="F445" s="62"/>
      <c r="G445" s="74"/>
      <c r="H445" s="75"/>
    </row>
    <row r="446" spans="1:8" ht="12.5" x14ac:dyDescent="0.25">
      <c r="A446" s="62"/>
      <c r="B446" s="62"/>
      <c r="C446" s="62"/>
      <c r="D446" s="62"/>
      <c r="E446" s="74"/>
      <c r="F446" s="62"/>
      <c r="G446" s="74"/>
      <c r="H446" s="75"/>
    </row>
    <row r="447" spans="1:8" ht="12.5" x14ac:dyDescent="0.25">
      <c r="A447" s="62"/>
      <c r="B447" s="62"/>
      <c r="C447" s="62"/>
      <c r="D447" s="62"/>
      <c r="E447" s="74"/>
      <c r="F447" s="62"/>
      <c r="G447" s="74"/>
      <c r="H447" s="75"/>
    </row>
    <row r="448" spans="1:8" ht="12.5" x14ac:dyDescent="0.25">
      <c r="A448" s="62"/>
      <c r="B448" s="62"/>
      <c r="C448" s="62"/>
      <c r="D448" s="62"/>
      <c r="E448" s="74"/>
      <c r="F448" s="62"/>
      <c r="G448" s="74"/>
      <c r="H448" s="75"/>
    </row>
    <row r="449" spans="1:8" ht="12.5" x14ac:dyDescent="0.25">
      <c r="A449" s="62"/>
      <c r="B449" s="62"/>
      <c r="C449" s="62"/>
      <c r="D449" s="62"/>
      <c r="E449" s="74"/>
      <c r="F449" s="62"/>
      <c r="G449" s="74"/>
      <c r="H449" s="75"/>
    </row>
    <row r="450" spans="1:8" ht="12.5" x14ac:dyDescent="0.25">
      <c r="A450" s="62"/>
      <c r="B450" s="62"/>
      <c r="C450" s="62"/>
      <c r="D450" s="62"/>
      <c r="E450" s="74"/>
      <c r="F450" s="62"/>
      <c r="G450" s="74"/>
      <c r="H450" s="75"/>
    </row>
    <row r="451" spans="1:8" ht="12.5" x14ac:dyDescent="0.25">
      <c r="A451" s="62"/>
      <c r="B451" s="62"/>
      <c r="C451" s="62"/>
      <c r="D451" s="62"/>
      <c r="E451" s="74"/>
      <c r="F451" s="62"/>
      <c r="G451" s="74"/>
      <c r="H451" s="75"/>
    </row>
    <row r="452" spans="1:8" ht="12.5" x14ac:dyDescent="0.25">
      <c r="A452" s="62"/>
      <c r="B452" s="62"/>
      <c r="C452" s="62"/>
      <c r="D452" s="62"/>
      <c r="E452" s="74"/>
      <c r="F452" s="62"/>
      <c r="G452" s="74"/>
      <c r="H452" s="75"/>
    </row>
    <row r="453" spans="1:8" ht="12.5" x14ac:dyDescent="0.25">
      <c r="A453" s="62"/>
      <c r="B453" s="62"/>
      <c r="C453" s="62"/>
      <c r="D453" s="62"/>
      <c r="E453" s="74"/>
      <c r="F453" s="62"/>
      <c r="G453" s="74"/>
      <c r="H453" s="75"/>
    </row>
    <row r="454" spans="1:8" ht="12.5" x14ac:dyDescent="0.25">
      <c r="A454" s="62"/>
      <c r="B454" s="62"/>
      <c r="C454" s="62"/>
      <c r="D454" s="62"/>
      <c r="E454" s="74"/>
      <c r="F454" s="62"/>
      <c r="G454" s="74"/>
      <c r="H454" s="75"/>
    </row>
    <row r="455" spans="1:8" ht="12.5" x14ac:dyDescent="0.25">
      <c r="A455" s="62"/>
      <c r="B455" s="62"/>
      <c r="C455" s="62"/>
      <c r="D455" s="62"/>
      <c r="E455" s="74"/>
      <c r="F455" s="62"/>
      <c r="G455" s="74"/>
      <c r="H455" s="75"/>
    </row>
    <row r="456" spans="1:8" ht="12.5" x14ac:dyDescent="0.25">
      <c r="A456" s="62"/>
      <c r="B456" s="62"/>
      <c r="C456" s="62"/>
      <c r="D456" s="62"/>
      <c r="E456" s="74"/>
      <c r="F456" s="62"/>
      <c r="G456" s="74"/>
      <c r="H456" s="75"/>
    </row>
    <row r="457" spans="1:8" ht="12.5" x14ac:dyDescent="0.25">
      <c r="A457" s="62"/>
      <c r="B457" s="62"/>
      <c r="C457" s="62"/>
      <c r="D457" s="62"/>
      <c r="E457" s="74"/>
      <c r="F457" s="62"/>
      <c r="G457" s="74"/>
      <c r="H457" s="75"/>
    </row>
    <row r="458" spans="1:8" ht="12.5" x14ac:dyDescent="0.25">
      <c r="A458" s="62"/>
      <c r="B458" s="62"/>
      <c r="C458" s="62"/>
      <c r="D458" s="62"/>
      <c r="E458" s="74"/>
      <c r="F458" s="62"/>
      <c r="G458" s="74"/>
      <c r="H458" s="75"/>
    </row>
    <row r="459" spans="1:8" ht="12.5" x14ac:dyDescent="0.25">
      <c r="A459" s="62"/>
      <c r="B459" s="62"/>
      <c r="C459" s="62"/>
      <c r="D459" s="62"/>
      <c r="E459" s="74"/>
      <c r="F459" s="62"/>
      <c r="G459" s="74"/>
      <c r="H459" s="75"/>
    </row>
    <row r="460" spans="1:8" ht="12.5" x14ac:dyDescent="0.25">
      <c r="A460" s="62"/>
      <c r="B460" s="62"/>
      <c r="C460" s="62"/>
      <c r="D460" s="62"/>
      <c r="E460" s="74"/>
      <c r="F460" s="62"/>
      <c r="G460" s="74"/>
      <c r="H460" s="75"/>
    </row>
    <row r="461" spans="1:8" ht="12.5" x14ac:dyDescent="0.25">
      <c r="A461" s="62"/>
      <c r="B461" s="62"/>
      <c r="C461" s="62"/>
      <c r="D461" s="62"/>
      <c r="E461" s="74"/>
      <c r="F461" s="62"/>
      <c r="G461" s="74"/>
      <c r="H461" s="75"/>
    </row>
    <row r="462" spans="1:8" ht="12.5" x14ac:dyDescent="0.25">
      <c r="A462" s="62"/>
      <c r="B462" s="62"/>
      <c r="C462" s="62"/>
      <c r="D462" s="62"/>
      <c r="E462" s="74"/>
      <c r="F462" s="62"/>
      <c r="G462" s="74"/>
      <c r="H462" s="75"/>
    </row>
    <row r="463" spans="1:8" ht="12.5" x14ac:dyDescent="0.25">
      <c r="A463" s="62"/>
      <c r="B463" s="62"/>
      <c r="C463" s="62"/>
      <c r="D463" s="62"/>
      <c r="E463" s="74"/>
      <c r="F463" s="62"/>
      <c r="G463" s="74"/>
      <c r="H463" s="75"/>
    </row>
    <row r="464" spans="1:8" ht="12.5" x14ac:dyDescent="0.25">
      <c r="A464" s="62"/>
      <c r="B464" s="62"/>
      <c r="C464" s="62"/>
      <c r="D464" s="62"/>
      <c r="E464" s="74"/>
      <c r="F464" s="62"/>
      <c r="G464" s="74"/>
      <c r="H464" s="75"/>
    </row>
    <row r="465" spans="1:8" ht="12.5" x14ac:dyDescent="0.25">
      <c r="A465" s="62"/>
      <c r="B465" s="62"/>
      <c r="C465" s="62"/>
      <c r="D465" s="62"/>
      <c r="E465" s="74"/>
      <c r="F465" s="62"/>
      <c r="G465" s="74"/>
      <c r="H465" s="75"/>
    </row>
    <row r="466" spans="1:8" ht="12.5" x14ac:dyDescent="0.25">
      <c r="A466" s="62"/>
      <c r="B466" s="62"/>
      <c r="C466" s="62"/>
      <c r="D466" s="62"/>
      <c r="E466" s="74"/>
      <c r="F466" s="62"/>
      <c r="G466" s="74"/>
      <c r="H466" s="75"/>
    </row>
    <row r="467" spans="1:8" ht="12.5" x14ac:dyDescent="0.25">
      <c r="A467" s="62"/>
      <c r="B467" s="62"/>
      <c r="C467" s="62"/>
      <c r="D467" s="62"/>
      <c r="E467" s="74"/>
      <c r="F467" s="62"/>
      <c r="G467" s="74"/>
      <c r="H467" s="75"/>
    </row>
    <row r="468" spans="1:8" ht="12.5" x14ac:dyDescent="0.25">
      <c r="A468" s="62"/>
      <c r="B468" s="62"/>
      <c r="C468" s="62"/>
      <c r="D468" s="62"/>
      <c r="E468" s="74"/>
      <c r="F468" s="62"/>
      <c r="G468" s="74"/>
      <c r="H468" s="75"/>
    </row>
    <row r="469" spans="1:8" ht="12.5" x14ac:dyDescent="0.25">
      <c r="A469" s="62"/>
      <c r="B469" s="62"/>
      <c r="C469" s="62"/>
      <c r="D469" s="62"/>
      <c r="E469" s="74"/>
      <c r="F469" s="62"/>
      <c r="G469" s="74"/>
      <c r="H469" s="75"/>
    </row>
    <row r="470" spans="1:8" ht="12.5" x14ac:dyDescent="0.25">
      <c r="A470" s="62"/>
      <c r="B470" s="62"/>
      <c r="C470" s="62"/>
      <c r="D470" s="62"/>
      <c r="E470" s="74"/>
      <c r="F470" s="62"/>
      <c r="G470" s="74"/>
      <c r="H470" s="75"/>
    </row>
    <row r="471" spans="1:8" ht="12.5" x14ac:dyDescent="0.25">
      <c r="A471" s="62"/>
      <c r="B471" s="62"/>
      <c r="C471" s="62"/>
      <c r="D471" s="62"/>
      <c r="E471" s="74"/>
      <c r="F471" s="62"/>
      <c r="G471" s="74"/>
      <c r="H471" s="75"/>
    </row>
    <row r="472" spans="1:8" ht="12.5" x14ac:dyDescent="0.25">
      <c r="A472" s="62"/>
      <c r="B472" s="62"/>
      <c r="C472" s="62"/>
      <c r="D472" s="62"/>
      <c r="E472" s="74"/>
      <c r="F472" s="62"/>
      <c r="G472" s="74"/>
      <c r="H472" s="75"/>
    </row>
    <row r="473" spans="1:8" ht="12.5" x14ac:dyDescent="0.25">
      <c r="A473" s="62"/>
      <c r="B473" s="62"/>
      <c r="C473" s="62"/>
      <c r="D473" s="62"/>
      <c r="E473" s="74"/>
      <c r="F473" s="62"/>
      <c r="G473" s="74"/>
      <c r="H473" s="75"/>
    </row>
    <row r="474" spans="1:8" ht="12.5" x14ac:dyDescent="0.25">
      <c r="A474" s="62"/>
      <c r="B474" s="62"/>
      <c r="C474" s="62"/>
      <c r="D474" s="62"/>
      <c r="E474" s="74"/>
      <c r="F474" s="62"/>
      <c r="G474" s="74"/>
      <c r="H474" s="75"/>
    </row>
    <row r="475" spans="1:8" ht="12.5" x14ac:dyDescent="0.25">
      <c r="A475" s="62"/>
      <c r="B475" s="62"/>
      <c r="C475" s="62"/>
      <c r="D475" s="62"/>
      <c r="E475" s="74"/>
      <c r="F475" s="62"/>
      <c r="G475" s="74"/>
      <c r="H475" s="75"/>
    </row>
    <row r="476" spans="1:8" ht="12.5" x14ac:dyDescent="0.25">
      <c r="A476" s="62"/>
      <c r="B476" s="62"/>
      <c r="C476" s="62"/>
      <c r="D476" s="62"/>
      <c r="E476" s="74"/>
      <c r="F476" s="62"/>
      <c r="G476" s="74"/>
      <c r="H476" s="75"/>
    </row>
    <row r="477" spans="1:8" ht="12.5" x14ac:dyDescent="0.25">
      <c r="A477" s="62"/>
      <c r="B477" s="62"/>
      <c r="C477" s="62"/>
      <c r="D477" s="62"/>
      <c r="E477" s="74"/>
      <c r="F477" s="62"/>
      <c r="G477" s="74"/>
      <c r="H477" s="75"/>
    </row>
    <row r="478" spans="1:8" ht="12.5" x14ac:dyDescent="0.25">
      <c r="A478" s="62"/>
      <c r="B478" s="62"/>
      <c r="C478" s="62"/>
      <c r="D478" s="62"/>
      <c r="E478" s="74"/>
      <c r="F478" s="62"/>
      <c r="G478" s="74"/>
      <c r="H478" s="75"/>
    </row>
    <row r="479" spans="1:8" ht="12.5" x14ac:dyDescent="0.25">
      <c r="A479" s="62"/>
      <c r="B479" s="62"/>
      <c r="C479" s="62"/>
      <c r="D479" s="62"/>
      <c r="E479" s="74"/>
      <c r="F479" s="62"/>
      <c r="G479" s="74"/>
      <c r="H479" s="75"/>
    </row>
    <row r="480" spans="1:8" ht="12.5" x14ac:dyDescent="0.25">
      <c r="A480" s="62"/>
      <c r="B480" s="62"/>
      <c r="C480" s="62"/>
      <c r="D480" s="62"/>
      <c r="E480" s="74"/>
      <c r="F480" s="62"/>
      <c r="G480" s="74"/>
      <c r="H480" s="75"/>
    </row>
    <row r="481" spans="1:8" ht="12.5" x14ac:dyDescent="0.25">
      <c r="A481" s="62"/>
      <c r="B481" s="62"/>
      <c r="C481" s="62"/>
      <c r="D481" s="62"/>
      <c r="E481" s="74"/>
      <c r="F481" s="62"/>
      <c r="G481" s="74"/>
      <c r="H481" s="75"/>
    </row>
    <row r="482" spans="1:8" ht="12.5" x14ac:dyDescent="0.25">
      <c r="A482" s="62"/>
      <c r="B482" s="62"/>
      <c r="C482" s="62"/>
      <c r="D482" s="62"/>
      <c r="E482" s="74"/>
      <c r="F482" s="62"/>
      <c r="G482" s="74"/>
      <c r="H482" s="75"/>
    </row>
    <row r="483" spans="1:8" ht="12.5" x14ac:dyDescent="0.25">
      <c r="A483" s="62"/>
      <c r="B483" s="62"/>
      <c r="C483" s="62"/>
      <c r="D483" s="62"/>
      <c r="E483" s="74"/>
      <c r="F483" s="62"/>
      <c r="G483" s="74"/>
      <c r="H483" s="75"/>
    </row>
    <row r="484" spans="1:8" ht="12.5" x14ac:dyDescent="0.25">
      <c r="A484" s="62"/>
      <c r="B484" s="62"/>
      <c r="C484" s="62"/>
      <c r="D484" s="62"/>
      <c r="E484" s="74"/>
      <c r="F484" s="62"/>
      <c r="G484" s="74"/>
      <c r="H484" s="75"/>
    </row>
    <row r="485" spans="1:8" ht="12.5" x14ac:dyDescent="0.25">
      <c r="A485" s="62"/>
      <c r="B485" s="62"/>
      <c r="C485" s="62"/>
      <c r="D485" s="62"/>
      <c r="E485" s="74"/>
      <c r="F485" s="62"/>
      <c r="G485" s="74"/>
      <c r="H485" s="75"/>
    </row>
    <row r="486" spans="1:8" ht="12.5" x14ac:dyDescent="0.25">
      <c r="A486" s="62"/>
      <c r="B486" s="62"/>
      <c r="C486" s="62"/>
      <c r="D486" s="62"/>
      <c r="E486" s="74"/>
      <c r="F486" s="62"/>
      <c r="G486" s="74"/>
      <c r="H486" s="75"/>
    </row>
    <row r="487" spans="1:8" ht="12.5" x14ac:dyDescent="0.25">
      <c r="A487" s="62"/>
      <c r="B487" s="62"/>
      <c r="C487" s="62"/>
      <c r="D487" s="62"/>
      <c r="E487" s="74"/>
      <c r="F487" s="62"/>
      <c r="G487" s="74"/>
      <c r="H487" s="75"/>
    </row>
    <row r="488" spans="1:8" ht="12.5" x14ac:dyDescent="0.25">
      <c r="A488" s="62"/>
      <c r="B488" s="62"/>
      <c r="C488" s="62"/>
      <c r="D488" s="62"/>
      <c r="E488" s="74"/>
      <c r="F488" s="62"/>
      <c r="G488" s="74"/>
      <c r="H488" s="75"/>
    </row>
    <row r="489" spans="1:8" ht="12.5" x14ac:dyDescent="0.25">
      <c r="A489" s="62"/>
      <c r="B489" s="62"/>
      <c r="C489" s="62"/>
      <c r="D489" s="62"/>
      <c r="E489" s="74"/>
      <c r="F489" s="62"/>
      <c r="G489" s="74"/>
      <c r="H489" s="75"/>
    </row>
    <row r="490" spans="1:8" ht="12.5" x14ac:dyDescent="0.25">
      <c r="A490" s="62"/>
      <c r="B490" s="62"/>
      <c r="C490" s="62"/>
      <c r="D490" s="62"/>
      <c r="E490" s="74"/>
      <c r="F490" s="62"/>
      <c r="G490" s="74"/>
      <c r="H490" s="75"/>
    </row>
    <row r="491" spans="1:8" ht="12.5" x14ac:dyDescent="0.25">
      <c r="A491" s="62"/>
      <c r="B491" s="62"/>
      <c r="C491" s="62"/>
      <c r="D491" s="62"/>
      <c r="E491" s="74"/>
      <c r="F491" s="62"/>
      <c r="G491" s="74"/>
      <c r="H491" s="75"/>
    </row>
    <row r="492" spans="1:8" ht="12.5" x14ac:dyDescent="0.25">
      <c r="A492" s="62"/>
      <c r="B492" s="62"/>
      <c r="C492" s="62"/>
      <c r="D492" s="62"/>
      <c r="E492" s="74"/>
      <c r="F492" s="62"/>
      <c r="G492" s="74"/>
      <c r="H492" s="75"/>
    </row>
    <row r="493" spans="1:8" ht="12.5" x14ac:dyDescent="0.25">
      <c r="A493" s="62"/>
      <c r="B493" s="62"/>
      <c r="C493" s="62"/>
      <c r="D493" s="62"/>
      <c r="E493" s="74"/>
      <c r="F493" s="62"/>
      <c r="G493" s="74"/>
      <c r="H493" s="75"/>
    </row>
    <row r="494" spans="1:8" ht="12.5" x14ac:dyDescent="0.25">
      <c r="A494" s="62"/>
      <c r="B494" s="62"/>
      <c r="C494" s="62"/>
      <c r="D494" s="62"/>
      <c r="E494" s="74"/>
      <c r="F494" s="62"/>
      <c r="G494" s="74"/>
      <c r="H494" s="75"/>
    </row>
    <row r="495" spans="1:8" ht="12.5" x14ac:dyDescent="0.25">
      <c r="A495" s="62"/>
      <c r="B495" s="62"/>
      <c r="C495" s="62"/>
      <c r="D495" s="62"/>
      <c r="E495" s="74"/>
      <c r="F495" s="62"/>
      <c r="G495" s="74"/>
      <c r="H495" s="75"/>
    </row>
    <row r="496" spans="1:8" ht="12.5" x14ac:dyDescent="0.25">
      <c r="A496" s="62"/>
      <c r="B496" s="62"/>
      <c r="C496" s="62"/>
      <c r="D496" s="62"/>
      <c r="E496" s="74"/>
      <c r="F496" s="62"/>
      <c r="G496" s="74"/>
      <c r="H496" s="75"/>
    </row>
    <row r="497" spans="1:8" ht="12.5" x14ac:dyDescent="0.25">
      <c r="A497" s="62"/>
      <c r="B497" s="62"/>
      <c r="C497" s="62"/>
      <c r="D497" s="62"/>
      <c r="E497" s="74"/>
      <c r="F497" s="62"/>
      <c r="G497" s="74"/>
      <c r="H497" s="75"/>
    </row>
    <row r="498" spans="1:8" ht="12.5" x14ac:dyDescent="0.25">
      <c r="A498" s="62"/>
      <c r="B498" s="62"/>
      <c r="C498" s="62"/>
      <c r="D498" s="62"/>
      <c r="E498" s="74"/>
      <c r="F498" s="62"/>
      <c r="G498" s="74"/>
      <c r="H498" s="75"/>
    </row>
    <row r="499" spans="1:8" ht="12.5" x14ac:dyDescent="0.25">
      <c r="A499" s="62"/>
      <c r="B499" s="62"/>
      <c r="C499" s="62"/>
      <c r="D499" s="62"/>
      <c r="E499" s="74"/>
      <c r="F499" s="62"/>
      <c r="G499" s="74"/>
      <c r="H499" s="75"/>
    </row>
    <row r="500" spans="1:8" ht="12.5" x14ac:dyDescent="0.25">
      <c r="A500" s="62"/>
      <c r="B500" s="62"/>
      <c r="C500" s="62"/>
      <c r="D500" s="62"/>
      <c r="E500" s="74"/>
      <c r="F500" s="62"/>
      <c r="G500" s="74"/>
      <c r="H500" s="75"/>
    </row>
    <row r="501" spans="1:8" ht="12.5" x14ac:dyDescent="0.25">
      <c r="A501" s="62"/>
      <c r="B501" s="62"/>
      <c r="C501" s="62"/>
      <c r="D501" s="62"/>
      <c r="E501" s="74"/>
      <c r="F501" s="62"/>
      <c r="G501" s="74"/>
      <c r="H501" s="75"/>
    </row>
    <row r="502" spans="1:8" ht="12.5" x14ac:dyDescent="0.25">
      <c r="A502" s="62"/>
      <c r="B502" s="62"/>
      <c r="C502" s="62"/>
      <c r="D502" s="62"/>
      <c r="E502" s="74"/>
      <c r="F502" s="62"/>
      <c r="G502" s="74"/>
      <c r="H502" s="75"/>
    </row>
    <row r="503" spans="1:8" ht="12.5" x14ac:dyDescent="0.25">
      <c r="A503" s="62"/>
      <c r="B503" s="62"/>
      <c r="C503" s="62"/>
      <c r="D503" s="62"/>
      <c r="E503" s="74"/>
      <c r="F503" s="62"/>
      <c r="G503" s="74"/>
      <c r="H503" s="75"/>
    </row>
    <row r="504" spans="1:8" ht="12.5" x14ac:dyDescent="0.25">
      <c r="A504" s="62"/>
      <c r="B504" s="62"/>
      <c r="C504" s="62"/>
      <c r="D504" s="62"/>
      <c r="E504" s="74"/>
      <c r="F504" s="62"/>
      <c r="G504" s="74"/>
      <c r="H504" s="75"/>
    </row>
    <row r="505" spans="1:8" ht="12.5" x14ac:dyDescent="0.25">
      <c r="A505" s="62"/>
      <c r="B505" s="62"/>
      <c r="C505" s="62"/>
      <c r="D505" s="62"/>
      <c r="E505" s="74"/>
      <c r="F505" s="62"/>
      <c r="G505" s="74"/>
      <c r="H505" s="75"/>
    </row>
    <row r="506" spans="1:8" ht="12.5" x14ac:dyDescent="0.25">
      <c r="A506" s="62"/>
      <c r="B506" s="62"/>
      <c r="C506" s="62"/>
      <c r="D506" s="62"/>
      <c r="E506" s="74"/>
      <c r="F506" s="62"/>
      <c r="G506" s="74"/>
      <c r="H506" s="75"/>
    </row>
    <row r="507" spans="1:8" ht="12.5" x14ac:dyDescent="0.25">
      <c r="A507" s="62"/>
      <c r="B507" s="62"/>
      <c r="C507" s="62"/>
      <c r="D507" s="62"/>
      <c r="E507" s="74"/>
      <c r="F507" s="62"/>
      <c r="G507" s="74"/>
      <c r="H507" s="75"/>
    </row>
    <row r="508" spans="1:8" ht="12.5" x14ac:dyDescent="0.25">
      <c r="A508" s="62"/>
      <c r="B508" s="62"/>
      <c r="C508" s="62"/>
      <c r="D508" s="62"/>
      <c r="E508" s="74"/>
      <c r="F508" s="62"/>
      <c r="G508" s="74"/>
      <c r="H508" s="75"/>
    </row>
    <row r="509" spans="1:8" ht="12.5" x14ac:dyDescent="0.25">
      <c r="A509" s="62"/>
      <c r="B509" s="62"/>
      <c r="C509" s="62"/>
      <c r="D509" s="62"/>
      <c r="E509" s="74"/>
      <c r="F509" s="62"/>
      <c r="G509" s="74"/>
      <c r="H509" s="75"/>
    </row>
    <row r="510" spans="1:8" ht="12.5" x14ac:dyDescent="0.25">
      <c r="A510" s="62"/>
      <c r="B510" s="62"/>
      <c r="C510" s="62"/>
      <c r="D510" s="62"/>
      <c r="E510" s="74"/>
      <c r="F510" s="62"/>
      <c r="G510" s="74"/>
      <c r="H510" s="75"/>
    </row>
    <row r="511" spans="1:8" ht="12.5" x14ac:dyDescent="0.25">
      <c r="A511" s="62"/>
      <c r="B511" s="62"/>
      <c r="C511" s="62"/>
      <c r="D511" s="62"/>
      <c r="E511" s="74"/>
      <c r="F511" s="62"/>
      <c r="G511" s="74"/>
      <c r="H511" s="75"/>
    </row>
    <row r="512" spans="1:8" ht="12.5" x14ac:dyDescent="0.25">
      <c r="A512" s="62"/>
      <c r="B512" s="62"/>
      <c r="C512" s="62"/>
      <c r="D512" s="62"/>
      <c r="E512" s="74"/>
      <c r="F512" s="62"/>
      <c r="G512" s="74"/>
      <c r="H512" s="75"/>
    </row>
    <row r="513" spans="1:8" ht="12.5" x14ac:dyDescent="0.25">
      <c r="A513" s="62"/>
      <c r="B513" s="62"/>
      <c r="C513" s="62"/>
      <c r="D513" s="62"/>
      <c r="E513" s="74"/>
      <c r="F513" s="62"/>
      <c r="G513" s="74"/>
      <c r="H513" s="75"/>
    </row>
    <row r="514" spans="1:8" ht="12.5" x14ac:dyDescent="0.25">
      <c r="A514" s="62"/>
      <c r="B514" s="62"/>
      <c r="C514" s="62"/>
      <c r="D514" s="62"/>
      <c r="E514" s="74"/>
      <c r="F514" s="62"/>
      <c r="G514" s="74"/>
      <c r="H514" s="75"/>
    </row>
    <row r="515" spans="1:8" ht="12.5" x14ac:dyDescent="0.25">
      <c r="A515" s="62"/>
      <c r="B515" s="62"/>
      <c r="C515" s="62"/>
      <c r="D515" s="62"/>
      <c r="E515" s="74"/>
      <c r="F515" s="62"/>
      <c r="G515" s="74"/>
      <c r="H515" s="75"/>
    </row>
    <row r="516" spans="1:8" ht="12.5" x14ac:dyDescent="0.25">
      <c r="A516" s="62"/>
      <c r="B516" s="62"/>
      <c r="C516" s="62"/>
      <c r="D516" s="62"/>
      <c r="E516" s="74"/>
      <c r="F516" s="62"/>
      <c r="G516" s="74"/>
      <c r="H516" s="75"/>
    </row>
    <row r="517" spans="1:8" ht="12.5" x14ac:dyDescent="0.25">
      <c r="A517" s="62"/>
      <c r="B517" s="62"/>
      <c r="C517" s="62"/>
      <c r="D517" s="62"/>
      <c r="E517" s="74"/>
      <c r="F517" s="62"/>
      <c r="G517" s="74"/>
      <c r="H517" s="75"/>
    </row>
    <row r="518" spans="1:8" ht="12.5" x14ac:dyDescent="0.25">
      <c r="A518" s="62"/>
      <c r="B518" s="62"/>
      <c r="C518" s="62"/>
      <c r="D518" s="62"/>
      <c r="E518" s="74"/>
      <c r="F518" s="62"/>
      <c r="G518" s="74"/>
      <c r="H518" s="75"/>
    </row>
    <row r="519" spans="1:8" ht="12.5" x14ac:dyDescent="0.25">
      <c r="A519" s="62"/>
      <c r="B519" s="62"/>
      <c r="C519" s="62"/>
      <c r="D519" s="62"/>
      <c r="E519" s="74"/>
      <c r="F519" s="62"/>
      <c r="G519" s="74"/>
      <c r="H519" s="75"/>
    </row>
    <row r="520" spans="1:8" ht="12.5" x14ac:dyDescent="0.25">
      <c r="A520" s="62"/>
      <c r="B520" s="62"/>
      <c r="C520" s="62"/>
      <c r="D520" s="62"/>
      <c r="E520" s="74"/>
      <c r="F520" s="62"/>
      <c r="G520" s="74"/>
      <c r="H520" s="75"/>
    </row>
    <row r="521" spans="1:8" ht="12.5" x14ac:dyDescent="0.25">
      <c r="A521" s="62"/>
      <c r="B521" s="62"/>
      <c r="C521" s="62"/>
      <c r="D521" s="62"/>
      <c r="E521" s="74"/>
      <c r="F521" s="62"/>
      <c r="G521" s="74"/>
      <c r="H521" s="75"/>
    </row>
    <row r="522" spans="1:8" ht="12.5" x14ac:dyDescent="0.25">
      <c r="A522" s="62"/>
      <c r="B522" s="62"/>
      <c r="C522" s="62"/>
      <c r="D522" s="62"/>
      <c r="E522" s="74"/>
      <c r="F522" s="62"/>
      <c r="G522" s="74"/>
      <c r="H522" s="75"/>
    </row>
    <row r="523" spans="1:8" ht="12.5" x14ac:dyDescent="0.25">
      <c r="A523" s="62"/>
      <c r="B523" s="62"/>
      <c r="C523" s="62"/>
      <c r="D523" s="62"/>
      <c r="E523" s="74"/>
      <c r="F523" s="62"/>
      <c r="G523" s="74"/>
      <c r="H523" s="75"/>
    </row>
    <row r="524" spans="1:8" ht="12.5" x14ac:dyDescent="0.25">
      <c r="A524" s="62"/>
      <c r="B524" s="62"/>
      <c r="C524" s="62"/>
      <c r="D524" s="62"/>
      <c r="E524" s="74"/>
      <c r="F524" s="62"/>
      <c r="G524" s="74"/>
      <c r="H524" s="75"/>
    </row>
    <row r="525" spans="1:8" ht="12.5" x14ac:dyDescent="0.25">
      <c r="A525" s="62"/>
      <c r="B525" s="62"/>
      <c r="C525" s="62"/>
      <c r="D525" s="62"/>
      <c r="E525" s="74"/>
      <c r="F525" s="62"/>
      <c r="G525" s="74"/>
      <c r="H525" s="75"/>
    </row>
    <row r="526" spans="1:8" ht="12.5" x14ac:dyDescent="0.25">
      <c r="A526" s="62"/>
      <c r="B526" s="62"/>
      <c r="C526" s="62"/>
      <c r="D526" s="62"/>
      <c r="E526" s="74"/>
      <c r="F526" s="62"/>
      <c r="G526" s="74"/>
      <c r="H526" s="75"/>
    </row>
    <row r="527" spans="1:8" ht="12.5" x14ac:dyDescent="0.25">
      <c r="A527" s="62"/>
      <c r="B527" s="62"/>
      <c r="C527" s="62"/>
      <c r="D527" s="62"/>
      <c r="E527" s="74"/>
      <c r="F527" s="62"/>
      <c r="G527" s="74"/>
      <c r="H527" s="75"/>
    </row>
    <row r="528" spans="1:8" ht="12.5" x14ac:dyDescent="0.25">
      <c r="A528" s="62"/>
      <c r="B528" s="62"/>
      <c r="C528" s="62"/>
      <c r="D528" s="62"/>
      <c r="E528" s="74"/>
      <c r="F528" s="62"/>
      <c r="G528" s="74"/>
      <c r="H528" s="75"/>
    </row>
    <row r="529" spans="1:8" ht="12.5" x14ac:dyDescent="0.25">
      <c r="A529" s="62"/>
      <c r="B529" s="62"/>
      <c r="C529" s="62"/>
      <c r="D529" s="62"/>
      <c r="E529" s="74"/>
      <c r="F529" s="62"/>
      <c r="G529" s="74"/>
      <c r="H529" s="75"/>
    </row>
    <row r="530" spans="1:8" ht="12.5" x14ac:dyDescent="0.25">
      <c r="A530" s="62"/>
      <c r="B530" s="62"/>
      <c r="C530" s="62"/>
      <c r="D530" s="62"/>
      <c r="E530" s="74"/>
      <c r="F530" s="62"/>
      <c r="G530" s="74"/>
      <c r="H530" s="75"/>
    </row>
    <row r="531" spans="1:8" ht="12.5" x14ac:dyDescent="0.25">
      <c r="A531" s="62"/>
      <c r="B531" s="62"/>
      <c r="C531" s="62"/>
      <c r="D531" s="62"/>
      <c r="E531" s="74"/>
      <c r="F531" s="62"/>
      <c r="G531" s="74"/>
      <c r="H531" s="75"/>
    </row>
    <row r="532" spans="1:8" ht="12.5" x14ac:dyDescent="0.25">
      <c r="A532" s="62"/>
      <c r="B532" s="62"/>
      <c r="C532" s="62"/>
      <c r="D532" s="62"/>
      <c r="E532" s="74"/>
      <c r="F532" s="62"/>
      <c r="G532" s="74"/>
      <c r="H532" s="75"/>
    </row>
    <row r="533" spans="1:8" ht="12.5" x14ac:dyDescent="0.25">
      <c r="A533" s="62"/>
      <c r="B533" s="62"/>
      <c r="C533" s="62"/>
      <c r="D533" s="62"/>
      <c r="E533" s="74"/>
      <c r="F533" s="62"/>
      <c r="G533" s="74"/>
      <c r="H533" s="75"/>
    </row>
    <row r="534" spans="1:8" ht="12.5" x14ac:dyDescent="0.25">
      <c r="A534" s="62"/>
      <c r="B534" s="62"/>
      <c r="C534" s="62"/>
      <c r="D534" s="62"/>
      <c r="E534" s="74"/>
      <c r="F534" s="62"/>
      <c r="G534" s="74"/>
      <c r="H534" s="75"/>
    </row>
    <row r="535" spans="1:8" ht="12.5" x14ac:dyDescent="0.25">
      <c r="A535" s="62"/>
      <c r="B535" s="62"/>
      <c r="C535" s="62"/>
      <c r="D535" s="62"/>
      <c r="E535" s="74"/>
      <c r="F535" s="62"/>
      <c r="G535" s="74"/>
      <c r="H535" s="75"/>
    </row>
    <row r="536" spans="1:8" ht="12.5" x14ac:dyDescent="0.25">
      <c r="A536" s="62"/>
      <c r="B536" s="62"/>
      <c r="C536" s="62"/>
      <c r="D536" s="62"/>
      <c r="E536" s="74"/>
      <c r="F536" s="62"/>
      <c r="G536" s="74"/>
      <c r="H536" s="75"/>
    </row>
    <row r="537" spans="1:8" ht="12.5" x14ac:dyDescent="0.25">
      <c r="A537" s="62"/>
      <c r="B537" s="62"/>
      <c r="C537" s="62"/>
      <c r="D537" s="62"/>
      <c r="E537" s="74"/>
      <c r="F537" s="62"/>
      <c r="G537" s="74"/>
      <c r="H537" s="75"/>
    </row>
    <row r="538" spans="1:8" ht="12.5" x14ac:dyDescent="0.25">
      <c r="A538" s="62"/>
      <c r="B538" s="62"/>
      <c r="C538" s="62"/>
      <c r="D538" s="62"/>
      <c r="E538" s="74"/>
      <c r="F538" s="62"/>
      <c r="G538" s="74"/>
      <c r="H538" s="75"/>
    </row>
    <row r="539" spans="1:8" ht="12.5" x14ac:dyDescent="0.25">
      <c r="A539" s="62"/>
      <c r="B539" s="62"/>
      <c r="C539" s="62"/>
      <c r="D539" s="62"/>
      <c r="E539" s="74"/>
      <c r="F539" s="62"/>
      <c r="G539" s="74"/>
      <c r="H539" s="75"/>
    </row>
    <row r="540" spans="1:8" ht="12.5" x14ac:dyDescent="0.25">
      <c r="A540" s="62"/>
      <c r="B540" s="62"/>
      <c r="C540" s="62"/>
      <c r="D540" s="62"/>
      <c r="E540" s="74"/>
      <c r="F540" s="62"/>
      <c r="G540" s="74"/>
      <c r="H540" s="75"/>
    </row>
    <row r="541" spans="1:8" ht="12.5" x14ac:dyDescent="0.25">
      <c r="A541" s="62"/>
      <c r="B541" s="62"/>
      <c r="C541" s="62"/>
      <c r="D541" s="62"/>
      <c r="E541" s="74"/>
      <c r="F541" s="62"/>
      <c r="G541" s="74"/>
      <c r="H541" s="75"/>
    </row>
    <row r="542" spans="1:8" ht="12.5" x14ac:dyDescent="0.25">
      <c r="A542" s="62"/>
      <c r="B542" s="62"/>
      <c r="C542" s="62"/>
      <c r="D542" s="62"/>
      <c r="E542" s="74"/>
      <c r="F542" s="62"/>
      <c r="G542" s="74"/>
      <c r="H542" s="75"/>
    </row>
    <row r="543" spans="1:8" ht="12.5" x14ac:dyDescent="0.25">
      <c r="A543" s="62"/>
      <c r="B543" s="62"/>
      <c r="C543" s="62"/>
      <c r="D543" s="62"/>
      <c r="E543" s="74"/>
      <c r="F543" s="62"/>
      <c r="G543" s="74"/>
      <c r="H543" s="75"/>
    </row>
    <row r="544" spans="1:8" ht="12.5" x14ac:dyDescent="0.25">
      <c r="A544" s="62"/>
      <c r="B544" s="62"/>
      <c r="C544" s="62"/>
      <c r="D544" s="62"/>
      <c r="E544" s="74"/>
      <c r="F544" s="62"/>
      <c r="G544" s="74"/>
      <c r="H544" s="75"/>
    </row>
    <row r="545" spans="1:8" ht="12.5" x14ac:dyDescent="0.25">
      <c r="A545" s="62"/>
      <c r="B545" s="62"/>
      <c r="C545" s="62"/>
      <c r="D545" s="62"/>
      <c r="E545" s="74"/>
      <c r="F545" s="62"/>
      <c r="G545" s="74"/>
      <c r="H545" s="75"/>
    </row>
    <row r="546" spans="1:8" ht="12.5" x14ac:dyDescent="0.25">
      <c r="A546" s="62"/>
      <c r="B546" s="62"/>
      <c r="C546" s="62"/>
      <c r="D546" s="62"/>
      <c r="E546" s="74"/>
      <c r="F546" s="62"/>
      <c r="G546" s="74"/>
      <c r="H546" s="75"/>
    </row>
    <row r="547" spans="1:8" ht="12.5" x14ac:dyDescent="0.25">
      <c r="A547" s="62"/>
      <c r="B547" s="62"/>
      <c r="C547" s="62"/>
      <c r="D547" s="62"/>
      <c r="E547" s="74"/>
      <c r="F547" s="62"/>
      <c r="G547" s="74"/>
      <c r="H547" s="75"/>
    </row>
    <row r="548" spans="1:8" ht="12.5" x14ac:dyDescent="0.25">
      <c r="A548" s="62"/>
      <c r="B548" s="62"/>
      <c r="C548" s="62"/>
      <c r="D548" s="62"/>
      <c r="E548" s="74"/>
      <c r="F548" s="62"/>
      <c r="G548" s="74"/>
      <c r="H548" s="75"/>
    </row>
    <row r="549" spans="1:8" ht="12.5" x14ac:dyDescent="0.25">
      <c r="A549" s="62"/>
      <c r="B549" s="62"/>
      <c r="C549" s="62"/>
      <c r="D549" s="62"/>
      <c r="E549" s="74"/>
      <c r="F549" s="62"/>
      <c r="G549" s="74"/>
      <c r="H549" s="75"/>
    </row>
    <row r="550" spans="1:8" ht="12.5" x14ac:dyDescent="0.25">
      <c r="A550" s="62"/>
      <c r="B550" s="62"/>
      <c r="C550" s="62"/>
      <c r="D550" s="62"/>
      <c r="E550" s="74"/>
      <c r="F550" s="62"/>
      <c r="G550" s="74"/>
      <c r="H550" s="75"/>
    </row>
    <row r="551" spans="1:8" ht="12.5" x14ac:dyDescent="0.25">
      <c r="A551" s="62"/>
      <c r="B551" s="62"/>
      <c r="C551" s="62"/>
      <c r="D551" s="62"/>
      <c r="E551" s="74"/>
      <c r="F551" s="62"/>
      <c r="G551" s="74"/>
      <c r="H551" s="75"/>
    </row>
    <row r="552" spans="1:8" ht="12.5" x14ac:dyDescent="0.25">
      <c r="A552" s="62"/>
      <c r="B552" s="62"/>
      <c r="C552" s="62"/>
      <c r="D552" s="62"/>
      <c r="E552" s="74"/>
      <c r="F552" s="62"/>
      <c r="G552" s="74"/>
      <c r="H552" s="75"/>
    </row>
    <row r="553" spans="1:8" ht="12.5" x14ac:dyDescent="0.25">
      <c r="A553" s="62"/>
      <c r="B553" s="62"/>
      <c r="C553" s="62"/>
      <c r="D553" s="62"/>
      <c r="E553" s="74"/>
      <c r="F553" s="62"/>
      <c r="G553" s="74"/>
      <c r="H553" s="75"/>
    </row>
    <row r="554" spans="1:8" ht="12.5" x14ac:dyDescent="0.25">
      <c r="A554" s="62"/>
      <c r="B554" s="62"/>
      <c r="C554" s="62"/>
      <c r="D554" s="62"/>
      <c r="E554" s="74"/>
      <c r="F554" s="62"/>
      <c r="G554" s="74"/>
      <c r="H554" s="75"/>
    </row>
    <row r="555" spans="1:8" ht="12.5" x14ac:dyDescent="0.25">
      <c r="A555" s="62"/>
      <c r="B555" s="62"/>
      <c r="C555" s="62"/>
      <c r="D555" s="62"/>
      <c r="E555" s="74"/>
      <c r="F555" s="62"/>
      <c r="G555" s="74"/>
      <c r="H555" s="75"/>
    </row>
    <row r="556" spans="1:8" ht="12.5" x14ac:dyDescent="0.25">
      <c r="A556" s="62"/>
      <c r="B556" s="62"/>
      <c r="C556" s="62"/>
      <c r="D556" s="62"/>
      <c r="E556" s="74"/>
      <c r="F556" s="62"/>
      <c r="G556" s="74"/>
      <c r="H556" s="75"/>
    </row>
    <row r="557" spans="1:8" ht="12.5" x14ac:dyDescent="0.25">
      <c r="A557" s="62"/>
      <c r="B557" s="62"/>
      <c r="C557" s="62"/>
      <c r="D557" s="62"/>
      <c r="E557" s="74"/>
      <c r="F557" s="62"/>
      <c r="G557" s="74"/>
      <c r="H557" s="75"/>
    </row>
    <row r="558" spans="1:8" ht="12.5" x14ac:dyDescent="0.25">
      <c r="A558" s="62"/>
      <c r="B558" s="62"/>
      <c r="C558" s="62"/>
      <c r="D558" s="62"/>
      <c r="E558" s="74"/>
      <c r="F558" s="62"/>
      <c r="G558" s="74"/>
      <c r="H558" s="75"/>
    </row>
    <row r="559" spans="1:8" ht="12.5" x14ac:dyDescent="0.25">
      <c r="A559" s="62"/>
      <c r="B559" s="62"/>
      <c r="C559" s="62"/>
      <c r="D559" s="62"/>
      <c r="E559" s="74"/>
      <c r="F559" s="62"/>
      <c r="G559" s="74"/>
      <c r="H559" s="75"/>
    </row>
    <row r="560" spans="1:8" ht="12.5" x14ac:dyDescent="0.25">
      <c r="A560" s="62"/>
      <c r="B560" s="62"/>
      <c r="C560" s="62"/>
      <c r="D560" s="62"/>
      <c r="E560" s="74"/>
      <c r="F560" s="62"/>
      <c r="G560" s="74"/>
      <c r="H560" s="75"/>
    </row>
    <row r="561" spans="1:8" ht="12.5" x14ac:dyDescent="0.25">
      <c r="A561" s="62"/>
      <c r="B561" s="62"/>
      <c r="C561" s="62"/>
      <c r="D561" s="62"/>
      <c r="E561" s="74"/>
      <c r="F561" s="62"/>
      <c r="G561" s="74"/>
      <c r="H561" s="75"/>
    </row>
    <row r="562" spans="1:8" ht="12.5" x14ac:dyDescent="0.25">
      <c r="A562" s="62"/>
      <c r="B562" s="62"/>
      <c r="C562" s="62"/>
      <c r="D562" s="62"/>
      <c r="E562" s="74"/>
      <c r="F562" s="62"/>
      <c r="G562" s="74"/>
      <c r="H562" s="75"/>
    </row>
    <row r="563" spans="1:8" ht="12.5" x14ac:dyDescent="0.25">
      <c r="A563" s="62"/>
      <c r="B563" s="62"/>
      <c r="C563" s="62"/>
      <c r="D563" s="62"/>
      <c r="E563" s="74"/>
      <c r="F563" s="62"/>
      <c r="G563" s="74"/>
      <c r="H563" s="75"/>
    </row>
    <row r="564" spans="1:8" ht="12.5" x14ac:dyDescent="0.25">
      <c r="A564" s="62"/>
      <c r="B564" s="62"/>
      <c r="C564" s="62"/>
      <c r="D564" s="62"/>
      <c r="E564" s="74"/>
      <c r="F564" s="62"/>
      <c r="G564" s="74"/>
      <c r="H564" s="75"/>
    </row>
    <row r="565" spans="1:8" ht="12.5" x14ac:dyDescent="0.25">
      <c r="A565" s="62"/>
      <c r="B565" s="62"/>
      <c r="C565" s="62"/>
      <c r="D565" s="62"/>
      <c r="E565" s="74"/>
      <c r="F565" s="62"/>
      <c r="G565" s="74"/>
      <c r="H565" s="75"/>
    </row>
    <row r="566" spans="1:8" ht="12.5" x14ac:dyDescent="0.25">
      <c r="A566" s="62"/>
      <c r="B566" s="62"/>
      <c r="C566" s="62"/>
      <c r="D566" s="62"/>
      <c r="E566" s="74"/>
      <c r="F566" s="62"/>
      <c r="G566" s="74"/>
      <c r="H566" s="75"/>
    </row>
    <row r="567" spans="1:8" ht="12.5" x14ac:dyDescent="0.25">
      <c r="A567" s="62"/>
      <c r="B567" s="62"/>
      <c r="C567" s="62"/>
      <c r="D567" s="62"/>
      <c r="E567" s="74"/>
      <c r="F567" s="62"/>
      <c r="G567" s="74"/>
      <c r="H567" s="75"/>
    </row>
    <row r="568" spans="1:8" ht="12.5" x14ac:dyDescent="0.25">
      <c r="A568" s="62"/>
      <c r="B568" s="62"/>
      <c r="C568" s="62"/>
      <c r="D568" s="62"/>
      <c r="E568" s="74"/>
      <c r="F568" s="62"/>
      <c r="G568" s="74"/>
      <c r="H568" s="75"/>
    </row>
    <row r="569" spans="1:8" ht="12.5" x14ac:dyDescent="0.25">
      <c r="A569" s="62"/>
      <c r="B569" s="62"/>
      <c r="C569" s="62"/>
      <c r="D569" s="62"/>
      <c r="E569" s="74"/>
      <c r="F569" s="62"/>
      <c r="G569" s="74"/>
      <c r="H569" s="75"/>
    </row>
    <row r="570" spans="1:8" ht="12.5" x14ac:dyDescent="0.25">
      <c r="A570" s="62"/>
      <c r="B570" s="62"/>
      <c r="C570" s="62"/>
      <c r="D570" s="62"/>
      <c r="E570" s="74"/>
      <c r="F570" s="62"/>
      <c r="G570" s="74"/>
      <c r="H570" s="75"/>
    </row>
    <row r="571" spans="1:8" ht="12.5" x14ac:dyDescent="0.25">
      <c r="A571" s="62"/>
      <c r="B571" s="62"/>
      <c r="C571" s="62"/>
      <c r="D571" s="62"/>
      <c r="E571" s="74"/>
      <c r="F571" s="62"/>
      <c r="G571" s="74"/>
      <c r="H571" s="75"/>
    </row>
    <row r="572" spans="1:8" ht="12.5" x14ac:dyDescent="0.25">
      <c r="A572" s="62"/>
      <c r="B572" s="62"/>
      <c r="C572" s="62"/>
      <c r="D572" s="62"/>
      <c r="E572" s="74"/>
      <c r="F572" s="62"/>
      <c r="G572" s="74"/>
      <c r="H572" s="75"/>
    </row>
    <row r="573" spans="1:8" ht="12.5" x14ac:dyDescent="0.25">
      <c r="A573" s="62"/>
      <c r="B573" s="62"/>
      <c r="C573" s="62"/>
      <c r="D573" s="62"/>
      <c r="E573" s="74"/>
      <c r="F573" s="62"/>
      <c r="G573" s="74"/>
      <c r="H573" s="75"/>
    </row>
    <row r="574" spans="1:8" ht="12.5" x14ac:dyDescent="0.25">
      <c r="A574" s="62"/>
      <c r="B574" s="62"/>
      <c r="C574" s="62"/>
      <c r="D574" s="62"/>
      <c r="E574" s="74"/>
      <c r="F574" s="62"/>
      <c r="G574" s="74"/>
      <c r="H574" s="75"/>
    </row>
    <row r="575" spans="1:8" ht="12.5" x14ac:dyDescent="0.25">
      <c r="A575" s="62"/>
      <c r="B575" s="62"/>
      <c r="C575" s="62"/>
      <c r="D575" s="62"/>
      <c r="E575" s="74"/>
      <c r="F575" s="62"/>
      <c r="G575" s="74"/>
      <c r="H575" s="75"/>
    </row>
    <row r="576" spans="1:8" ht="12.5" x14ac:dyDescent="0.25">
      <c r="A576" s="62"/>
      <c r="B576" s="62"/>
      <c r="C576" s="62"/>
      <c r="D576" s="62"/>
      <c r="E576" s="74"/>
      <c r="F576" s="62"/>
      <c r="G576" s="74"/>
      <c r="H576" s="75"/>
    </row>
    <row r="577" spans="1:8" ht="12.5" x14ac:dyDescent="0.25">
      <c r="A577" s="62"/>
      <c r="B577" s="62"/>
      <c r="C577" s="62"/>
      <c r="D577" s="62"/>
      <c r="E577" s="74"/>
      <c r="F577" s="62"/>
      <c r="G577" s="74"/>
      <c r="H577" s="75"/>
    </row>
    <row r="578" spans="1:8" ht="12.5" x14ac:dyDescent="0.25">
      <c r="A578" s="62"/>
      <c r="B578" s="62"/>
      <c r="C578" s="62"/>
      <c r="D578" s="62"/>
      <c r="E578" s="74"/>
      <c r="F578" s="62"/>
      <c r="G578" s="74"/>
      <c r="H578" s="75"/>
    </row>
    <row r="579" spans="1:8" ht="12.5" x14ac:dyDescent="0.25">
      <c r="A579" s="62"/>
      <c r="B579" s="62"/>
      <c r="C579" s="62"/>
      <c r="D579" s="62"/>
      <c r="E579" s="74"/>
      <c r="F579" s="62"/>
      <c r="G579" s="74"/>
      <c r="H579" s="75"/>
    </row>
    <row r="580" spans="1:8" ht="12.5" x14ac:dyDescent="0.25">
      <c r="A580" s="62"/>
      <c r="B580" s="62"/>
      <c r="C580" s="62"/>
      <c r="D580" s="62"/>
      <c r="E580" s="74"/>
      <c r="F580" s="62"/>
      <c r="G580" s="74"/>
      <c r="H580" s="75"/>
    </row>
    <row r="581" spans="1:8" ht="12.5" x14ac:dyDescent="0.25">
      <c r="A581" s="62"/>
      <c r="B581" s="62"/>
      <c r="C581" s="62"/>
      <c r="D581" s="62"/>
      <c r="E581" s="74"/>
      <c r="F581" s="62"/>
      <c r="G581" s="74"/>
      <c r="H581" s="75"/>
    </row>
    <row r="582" spans="1:8" ht="12.5" x14ac:dyDescent="0.25">
      <c r="A582" s="62"/>
      <c r="B582" s="62"/>
      <c r="C582" s="62"/>
      <c r="D582" s="62"/>
      <c r="E582" s="74"/>
      <c r="F582" s="62"/>
      <c r="G582" s="74"/>
      <c r="H582" s="75"/>
    </row>
    <row r="583" spans="1:8" ht="12.5" x14ac:dyDescent="0.25">
      <c r="A583" s="62"/>
      <c r="B583" s="62"/>
      <c r="C583" s="62"/>
      <c r="D583" s="62"/>
      <c r="E583" s="74"/>
      <c r="F583" s="62"/>
      <c r="G583" s="74"/>
      <c r="H583" s="75"/>
    </row>
    <row r="584" spans="1:8" ht="12.5" x14ac:dyDescent="0.25">
      <c r="A584" s="62"/>
      <c r="B584" s="62"/>
      <c r="C584" s="62"/>
      <c r="D584" s="62"/>
      <c r="E584" s="74"/>
      <c r="F584" s="62"/>
      <c r="G584" s="74"/>
      <c r="H584" s="75"/>
    </row>
    <row r="585" spans="1:8" ht="12.5" x14ac:dyDescent="0.25">
      <c r="A585" s="62"/>
      <c r="B585" s="62"/>
      <c r="C585" s="62"/>
      <c r="D585" s="62"/>
      <c r="E585" s="74"/>
      <c r="F585" s="62"/>
      <c r="G585" s="74"/>
      <c r="H585" s="75"/>
    </row>
    <row r="586" spans="1:8" ht="12.5" x14ac:dyDescent="0.25">
      <c r="A586" s="62"/>
      <c r="B586" s="62"/>
      <c r="C586" s="62"/>
      <c r="D586" s="62"/>
      <c r="E586" s="74"/>
      <c r="F586" s="62"/>
      <c r="G586" s="74"/>
      <c r="H586" s="75"/>
    </row>
    <row r="587" spans="1:8" ht="12.5" x14ac:dyDescent="0.25">
      <c r="A587" s="62"/>
      <c r="B587" s="62"/>
      <c r="C587" s="62"/>
      <c r="D587" s="62"/>
      <c r="E587" s="74"/>
      <c r="F587" s="62"/>
      <c r="G587" s="74"/>
      <c r="H587" s="75"/>
    </row>
    <row r="588" spans="1:8" ht="12.5" x14ac:dyDescent="0.25">
      <c r="A588" s="62"/>
      <c r="B588" s="62"/>
      <c r="C588" s="62"/>
      <c r="D588" s="62"/>
      <c r="E588" s="74"/>
      <c r="F588" s="62"/>
      <c r="G588" s="74"/>
      <c r="H588" s="75"/>
    </row>
    <row r="589" spans="1:8" ht="12.5" x14ac:dyDescent="0.25">
      <c r="A589" s="62"/>
      <c r="B589" s="62"/>
      <c r="C589" s="62"/>
      <c r="D589" s="62"/>
      <c r="E589" s="74"/>
      <c r="F589" s="62"/>
      <c r="G589" s="74"/>
      <c r="H589" s="75"/>
    </row>
    <row r="590" spans="1:8" ht="12.5" x14ac:dyDescent="0.25">
      <c r="A590" s="62"/>
      <c r="B590" s="62"/>
      <c r="C590" s="62"/>
      <c r="D590" s="62"/>
      <c r="E590" s="74"/>
      <c r="F590" s="62"/>
      <c r="G590" s="74"/>
      <c r="H590" s="75"/>
    </row>
    <row r="591" spans="1:8" ht="12.5" x14ac:dyDescent="0.25">
      <c r="A591" s="62"/>
      <c r="B591" s="62"/>
      <c r="C591" s="62"/>
      <c r="D591" s="62"/>
      <c r="E591" s="74"/>
      <c r="F591" s="62"/>
      <c r="G591" s="74"/>
      <c r="H591" s="75"/>
    </row>
    <row r="592" spans="1:8" ht="12.5" x14ac:dyDescent="0.25">
      <c r="A592" s="62"/>
      <c r="B592" s="62"/>
      <c r="C592" s="62"/>
      <c r="D592" s="62"/>
      <c r="E592" s="74"/>
      <c r="F592" s="62"/>
      <c r="G592" s="74"/>
      <c r="H592" s="75"/>
    </row>
    <row r="593" spans="1:8" ht="12.5" x14ac:dyDescent="0.25">
      <c r="A593" s="62"/>
      <c r="B593" s="62"/>
      <c r="C593" s="62"/>
      <c r="D593" s="62"/>
      <c r="E593" s="74"/>
      <c r="F593" s="62"/>
      <c r="G593" s="74"/>
      <c r="H593" s="75"/>
    </row>
    <row r="594" spans="1:8" ht="12.5" x14ac:dyDescent="0.25">
      <c r="A594" s="62"/>
      <c r="B594" s="62"/>
      <c r="C594" s="62"/>
      <c r="D594" s="62"/>
      <c r="E594" s="74"/>
      <c r="F594" s="62"/>
      <c r="G594" s="74"/>
      <c r="H594" s="75"/>
    </row>
    <row r="595" spans="1:8" ht="12.5" x14ac:dyDescent="0.25">
      <c r="A595" s="62"/>
      <c r="B595" s="62"/>
      <c r="C595" s="62"/>
      <c r="D595" s="62"/>
      <c r="E595" s="74"/>
      <c r="F595" s="62"/>
      <c r="G595" s="74"/>
      <c r="H595" s="75"/>
    </row>
    <row r="596" spans="1:8" ht="12.5" x14ac:dyDescent="0.25">
      <c r="A596" s="62"/>
      <c r="B596" s="62"/>
      <c r="C596" s="62"/>
      <c r="D596" s="62"/>
      <c r="E596" s="74"/>
      <c r="F596" s="62"/>
      <c r="G596" s="74"/>
      <c r="H596" s="75"/>
    </row>
    <row r="597" spans="1:8" ht="12.5" x14ac:dyDescent="0.25">
      <c r="A597" s="62"/>
      <c r="B597" s="62"/>
      <c r="C597" s="62"/>
      <c r="D597" s="62"/>
      <c r="E597" s="74"/>
      <c r="F597" s="62"/>
      <c r="G597" s="74"/>
      <c r="H597" s="75"/>
    </row>
    <row r="598" spans="1:8" ht="12.5" x14ac:dyDescent="0.25">
      <c r="A598" s="62"/>
      <c r="B598" s="62"/>
      <c r="C598" s="62"/>
      <c r="D598" s="62"/>
      <c r="E598" s="74"/>
      <c r="F598" s="62"/>
      <c r="G598" s="74"/>
      <c r="H598" s="75"/>
    </row>
    <row r="599" spans="1:8" ht="12.5" x14ac:dyDescent="0.25">
      <c r="A599" s="62"/>
      <c r="B599" s="62"/>
      <c r="C599" s="62"/>
      <c r="D599" s="62"/>
      <c r="E599" s="74"/>
      <c r="F599" s="62"/>
      <c r="G599" s="74"/>
      <c r="H599" s="75"/>
    </row>
    <row r="600" spans="1:8" ht="12.5" x14ac:dyDescent="0.25">
      <c r="A600" s="62"/>
      <c r="B600" s="62"/>
      <c r="C600" s="62"/>
      <c r="D600" s="62"/>
      <c r="E600" s="74"/>
      <c r="F600" s="62"/>
      <c r="G600" s="74"/>
      <c r="H600" s="75"/>
    </row>
    <row r="601" spans="1:8" ht="12.5" x14ac:dyDescent="0.25">
      <c r="A601" s="62"/>
      <c r="B601" s="62"/>
      <c r="C601" s="62"/>
      <c r="D601" s="62"/>
      <c r="E601" s="74"/>
      <c r="F601" s="62"/>
      <c r="G601" s="74"/>
      <c r="H601" s="75"/>
    </row>
    <row r="602" spans="1:8" ht="12.5" x14ac:dyDescent="0.25">
      <c r="A602" s="62"/>
      <c r="B602" s="62"/>
      <c r="C602" s="62"/>
      <c r="D602" s="62"/>
      <c r="E602" s="74"/>
      <c r="F602" s="62"/>
      <c r="G602" s="74"/>
      <c r="H602" s="75"/>
    </row>
    <row r="603" spans="1:8" ht="12.5" x14ac:dyDescent="0.25">
      <c r="A603" s="62"/>
      <c r="B603" s="62"/>
      <c r="C603" s="62"/>
      <c r="D603" s="62"/>
      <c r="E603" s="74"/>
      <c r="F603" s="62"/>
      <c r="G603" s="74"/>
      <c r="H603" s="75"/>
    </row>
    <row r="604" spans="1:8" ht="12.5" x14ac:dyDescent="0.25">
      <c r="A604" s="62"/>
      <c r="B604" s="62"/>
      <c r="C604" s="62"/>
      <c r="D604" s="62"/>
      <c r="E604" s="74"/>
      <c r="F604" s="62"/>
      <c r="G604" s="74"/>
      <c r="H604" s="75"/>
    </row>
    <row r="605" spans="1:8" ht="12.5" x14ac:dyDescent="0.25">
      <c r="A605" s="62"/>
      <c r="B605" s="62"/>
      <c r="C605" s="62"/>
      <c r="D605" s="62"/>
      <c r="E605" s="74"/>
      <c r="F605" s="62"/>
      <c r="G605" s="74"/>
      <c r="H605" s="75"/>
    </row>
    <row r="606" spans="1:8" ht="12.5" x14ac:dyDescent="0.25">
      <c r="A606" s="62"/>
      <c r="B606" s="62"/>
      <c r="C606" s="62"/>
      <c r="D606" s="62"/>
      <c r="E606" s="74"/>
      <c r="F606" s="62"/>
      <c r="G606" s="74"/>
      <c r="H606" s="75"/>
    </row>
    <row r="607" spans="1:8" ht="12.5" x14ac:dyDescent="0.25">
      <c r="A607" s="62"/>
      <c r="B607" s="62"/>
      <c r="C607" s="62"/>
      <c r="D607" s="62"/>
      <c r="E607" s="74"/>
      <c r="F607" s="62"/>
      <c r="G607" s="74"/>
      <c r="H607" s="75"/>
    </row>
    <row r="608" spans="1:8" ht="12.5" x14ac:dyDescent="0.25">
      <c r="A608" s="62"/>
      <c r="B608" s="62"/>
      <c r="C608" s="62"/>
      <c r="D608" s="62"/>
      <c r="E608" s="74"/>
      <c r="F608" s="62"/>
      <c r="G608" s="74"/>
      <c r="H608" s="75"/>
    </row>
    <row r="609" spans="1:8" ht="12.5" x14ac:dyDescent="0.25">
      <c r="A609" s="62"/>
      <c r="B609" s="62"/>
      <c r="C609" s="62"/>
      <c r="D609" s="62"/>
      <c r="E609" s="74"/>
      <c r="F609" s="62"/>
      <c r="G609" s="74"/>
      <c r="H609" s="75"/>
    </row>
    <row r="610" spans="1:8" ht="12.5" x14ac:dyDescent="0.25">
      <c r="A610" s="62"/>
      <c r="B610" s="62"/>
      <c r="C610" s="62"/>
      <c r="D610" s="62"/>
      <c r="E610" s="74"/>
      <c r="F610" s="62"/>
      <c r="G610" s="74"/>
      <c r="H610" s="75"/>
    </row>
    <row r="611" spans="1:8" ht="12.5" x14ac:dyDescent="0.25">
      <c r="A611" s="62"/>
      <c r="B611" s="62"/>
      <c r="C611" s="62"/>
      <c r="D611" s="62"/>
      <c r="E611" s="74"/>
      <c r="F611" s="62"/>
      <c r="G611" s="74"/>
      <c r="H611" s="75"/>
    </row>
    <row r="612" spans="1:8" ht="12.5" x14ac:dyDescent="0.25">
      <c r="A612" s="62"/>
      <c r="B612" s="62"/>
      <c r="C612" s="62"/>
      <c r="D612" s="62"/>
      <c r="E612" s="74"/>
      <c r="F612" s="62"/>
      <c r="G612" s="74"/>
      <c r="H612" s="75"/>
    </row>
    <row r="613" spans="1:8" ht="12.5" x14ac:dyDescent="0.25">
      <c r="A613" s="62"/>
      <c r="B613" s="62"/>
      <c r="C613" s="62"/>
      <c r="D613" s="62"/>
      <c r="E613" s="74"/>
      <c r="F613" s="62"/>
      <c r="G613" s="74"/>
      <c r="H613" s="75"/>
    </row>
    <row r="614" spans="1:8" ht="12.5" x14ac:dyDescent="0.25">
      <c r="A614" s="62"/>
      <c r="B614" s="62"/>
      <c r="C614" s="62"/>
      <c r="D614" s="62"/>
      <c r="E614" s="74"/>
      <c r="F614" s="62"/>
      <c r="G614" s="74"/>
      <c r="H614" s="75"/>
    </row>
    <row r="615" spans="1:8" ht="12.5" x14ac:dyDescent="0.25">
      <c r="A615" s="62"/>
      <c r="B615" s="62"/>
      <c r="C615" s="62"/>
      <c r="D615" s="62"/>
      <c r="E615" s="74"/>
      <c r="F615" s="62"/>
      <c r="G615" s="74"/>
      <c r="H615" s="75"/>
    </row>
    <row r="616" spans="1:8" ht="12.5" x14ac:dyDescent="0.25">
      <c r="A616" s="62"/>
      <c r="B616" s="62"/>
      <c r="C616" s="62"/>
      <c r="D616" s="62"/>
      <c r="E616" s="74"/>
      <c r="F616" s="62"/>
      <c r="G616" s="74"/>
      <c r="H616" s="75"/>
    </row>
    <row r="617" spans="1:8" ht="12.5" x14ac:dyDescent="0.25">
      <c r="A617" s="62"/>
      <c r="B617" s="62"/>
      <c r="C617" s="62"/>
      <c r="D617" s="62"/>
      <c r="E617" s="74"/>
      <c r="F617" s="62"/>
      <c r="G617" s="74"/>
      <c r="H617" s="75"/>
    </row>
    <row r="618" spans="1:8" ht="12.5" x14ac:dyDescent="0.25">
      <c r="A618" s="62"/>
      <c r="B618" s="62"/>
      <c r="C618" s="62"/>
      <c r="D618" s="62"/>
      <c r="E618" s="74"/>
      <c r="F618" s="62"/>
      <c r="G618" s="74"/>
      <c r="H618" s="75"/>
    </row>
    <row r="619" spans="1:8" ht="12.5" x14ac:dyDescent="0.25">
      <c r="A619" s="62"/>
      <c r="B619" s="62"/>
      <c r="C619" s="62"/>
      <c r="D619" s="62"/>
      <c r="E619" s="74"/>
      <c r="F619" s="62"/>
      <c r="G619" s="74"/>
      <c r="H619" s="75"/>
    </row>
    <row r="620" spans="1:8" ht="12.5" x14ac:dyDescent="0.25">
      <c r="A620" s="62"/>
      <c r="B620" s="62"/>
      <c r="C620" s="62"/>
      <c r="D620" s="62"/>
      <c r="E620" s="74"/>
      <c r="F620" s="62"/>
      <c r="G620" s="74"/>
      <c r="H620" s="75"/>
    </row>
    <row r="621" spans="1:8" ht="12.5" x14ac:dyDescent="0.25">
      <c r="A621" s="62"/>
      <c r="B621" s="62"/>
      <c r="C621" s="62"/>
      <c r="D621" s="62"/>
      <c r="E621" s="74"/>
      <c r="F621" s="62"/>
      <c r="G621" s="74"/>
      <c r="H621" s="75"/>
    </row>
    <row r="622" spans="1:8" ht="12.5" x14ac:dyDescent="0.25">
      <c r="A622" s="62"/>
      <c r="B622" s="62"/>
      <c r="C622" s="62"/>
      <c r="D622" s="62"/>
      <c r="E622" s="74"/>
      <c r="F622" s="62"/>
      <c r="G622" s="74"/>
      <c r="H622" s="75"/>
    </row>
    <row r="623" spans="1:8" ht="12.5" x14ac:dyDescent="0.25">
      <c r="A623" s="62"/>
      <c r="B623" s="62"/>
      <c r="C623" s="62"/>
      <c r="D623" s="62"/>
      <c r="E623" s="74"/>
      <c r="F623" s="62"/>
      <c r="G623" s="74"/>
      <c r="H623" s="75"/>
    </row>
    <row r="624" spans="1:8" ht="12.5" x14ac:dyDescent="0.25">
      <c r="A624" s="62"/>
      <c r="B624" s="62"/>
      <c r="C624" s="62"/>
      <c r="D624" s="62"/>
      <c r="E624" s="74"/>
      <c r="F624" s="62"/>
      <c r="G624" s="74"/>
      <c r="H624" s="75"/>
    </row>
    <row r="625" spans="1:8" ht="12.5" x14ac:dyDescent="0.25">
      <c r="A625" s="62"/>
      <c r="B625" s="62"/>
      <c r="C625" s="62"/>
      <c r="D625" s="62"/>
      <c r="E625" s="74"/>
      <c r="F625" s="62"/>
      <c r="G625" s="74"/>
      <c r="H625" s="75"/>
    </row>
    <row r="626" spans="1:8" ht="12.5" x14ac:dyDescent="0.25">
      <c r="A626" s="62"/>
      <c r="B626" s="62"/>
      <c r="C626" s="62"/>
      <c r="D626" s="62"/>
      <c r="E626" s="74"/>
      <c r="F626" s="62"/>
      <c r="G626" s="74"/>
      <c r="H626" s="75"/>
    </row>
    <row r="627" spans="1:8" ht="12.5" x14ac:dyDescent="0.25">
      <c r="A627" s="62"/>
      <c r="B627" s="62"/>
      <c r="C627" s="62"/>
      <c r="D627" s="62"/>
      <c r="E627" s="74"/>
      <c r="F627" s="62"/>
      <c r="G627" s="74"/>
      <c r="H627" s="75"/>
    </row>
    <row r="628" spans="1:8" ht="12.5" x14ac:dyDescent="0.25">
      <c r="A628" s="62"/>
      <c r="B628" s="62"/>
      <c r="C628" s="62"/>
      <c r="D628" s="62"/>
      <c r="E628" s="74"/>
      <c r="F628" s="62"/>
      <c r="G628" s="74"/>
      <c r="H628" s="75"/>
    </row>
    <row r="629" spans="1:8" ht="12.5" x14ac:dyDescent="0.25">
      <c r="A629" s="62"/>
      <c r="B629" s="62"/>
      <c r="C629" s="62"/>
      <c r="D629" s="62"/>
      <c r="E629" s="74"/>
      <c r="F629" s="62"/>
      <c r="G629" s="74"/>
      <c r="H629" s="75"/>
    </row>
    <row r="630" spans="1:8" ht="12.5" x14ac:dyDescent="0.25">
      <c r="A630" s="62"/>
      <c r="B630" s="62"/>
      <c r="C630" s="62"/>
      <c r="D630" s="62"/>
      <c r="E630" s="74"/>
      <c r="F630" s="62"/>
      <c r="G630" s="74"/>
      <c r="H630" s="75"/>
    </row>
    <row r="631" spans="1:8" ht="12.5" x14ac:dyDescent="0.25">
      <c r="A631" s="62"/>
      <c r="B631" s="62"/>
      <c r="C631" s="62"/>
      <c r="D631" s="62"/>
      <c r="E631" s="74"/>
      <c r="F631" s="62"/>
      <c r="G631" s="74"/>
      <c r="H631" s="75"/>
    </row>
    <row r="632" spans="1:8" ht="12.5" x14ac:dyDescent="0.25">
      <c r="A632" s="62"/>
      <c r="B632" s="62"/>
      <c r="C632" s="62"/>
      <c r="D632" s="62"/>
      <c r="E632" s="74"/>
      <c r="F632" s="62"/>
      <c r="G632" s="74"/>
      <c r="H632" s="75"/>
    </row>
    <row r="633" spans="1:8" ht="12.5" x14ac:dyDescent="0.25">
      <c r="A633" s="62"/>
      <c r="B633" s="62"/>
      <c r="C633" s="62"/>
      <c r="D633" s="62"/>
      <c r="E633" s="74"/>
      <c r="F633" s="62"/>
      <c r="G633" s="74"/>
      <c r="H633" s="75"/>
    </row>
    <row r="634" spans="1:8" ht="12.5" x14ac:dyDescent="0.25">
      <c r="A634" s="62"/>
      <c r="B634" s="62"/>
      <c r="C634" s="62"/>
      <c r="D634" s="62"/>
      <c r="E634" s="74"/>
      <c r="F634" s="62"/>
      <c r="G634" s="74"/>
      <c r="H634" s="75"/>
    </row>
    <row r="635" spans="1:8" ht="12.5" x14ac:dyDescent="0.25">
      <c r="A635" s="62"/>
      <c r="B635" s="62"/>
      <c r="C635" s="62"/>
      <c r="D635" s="62"/>
      <c r="E635" s="74"/>
      <c r="F635" s="62"/>
      <c r="G635" s="74"/>
      <c r="H635" s="75"/>
    </row>
    <row r="636" spans="1:8" ht="12.5" x14ac:dyDescent="0.25">
      <c r="A636" s="62"/>
      <c r="B636" s="62"/>
      <c r="C636" s="62"/>
      <c r="D636" s="62"/>
      <c r="E636" s="74"/>
      <c r="F636" s="62"/>
      <c r="G636" s="74"/>
      <c r="H636" s="75"/>
    </row>
    <row r="637" spans="1:8" ht="12.5" x14ac:dyDescent="0.25">
      <c r="A637" s="62"/>
      <c r="B637" s="62"/>
      <c r="C637" s="62"/>
      <c r="D637" s="62"/>
      <c r="E637" s="74"/>
      <c r="F637" s="62"/>
      <c r="G637" s="74"/>
      <c r="H637" s="75"/>
    </row>
    <row r="638" spans="1:8" ht="12.5" x14ac:dyDescent="0.25">
      <c r="A638" s="62"/>
      <c r="B638" s="62"/>
      <c r="C638" s="62"/>
      <c r="D638" s="62"/>
      <c r="E638" s="74"/>
      <c r="F638" s="62"/>
      <c r="G638" s="74"/>
      <c r="H638" s="75"/>
    </row>
    <row r="639" spans="1:8" ht="12.5" x14ac:dyDescent="0.25">
      <c r="A639" s="62"/>
      <c r="B639" s="62"/>
      <c r="C639" s="62"/>
      <c r="D639" s="62"/>
      <c r="E639" s="74"/>
      <c r="F639" s="62"/>
      <c r="G639" s="74"/>
      <c r="H639" s="75"/>
    </row>
    <row r="640" spans="1:8" ht="12.5" x14ac:dyDescent="0.25">
      <c r="A640" s="62"/>
      <c r="B640" s="62"/>
      <c r="C640" s="62"/>
      <c r="D640" s="62"/>
      <c r="E640" s="74"/>
      <c r="F640" s="62"/>
      <c r="G640" s="74"/>
      <c r="H640" s="75"/>
    </row>
    <row r="641" spans="1:8" ht="12.5" x14ac:dyDescent="0.25">
      <c r="A641" s="62"/>
      <c r="B641" s="62"/>
      <c r="C641" s="62"/>
      <c r="D641" s="62"/>
      <c r="E641" s="74"/>
      <c r="F641" s="62"/>
      <c r="G641" s="74"/>
      <c r="H641" s="75"/>
    </row>
    <row r="642" spans="1:8" ht="12.5" x14ac:dyDescent="0.25">
      <c r="A642" s="62"/>
      <c r="B642" s="62"/>
      <c r="C642" s="62"/>
      <c r="D642" s="62"/>
      <c r="E642" s="74"/>
      <c r="F642" s="62"/>
      <c r="G642" s="74"/>
      <c r="H642" s="75"/>
    </row>
    <row r="643" spans="1:8" ht="12.5" x14ac:dyDescent="0.25">
      <c r="A643" s="62"/>
      <c r="B643" s="62"/>
      <c r="C643" s="62"/>
      <c r="D643" s="62"/>
      <c r="E643" s="74"/>
      <c r="F643" s="62"/>
      <c r="G643" s="74"/>
      <c r="H643" s="75"/>
    </row>
    <row r="644" spans="1:8" ht="12.5" x14ac:dyDescent="0.25">
      <c r="A644" s="62"/>
      <c r="B644" s="62"/>
      <c r="C644" s="62"/>
      <c r="D644" s="62"/>
      <c r="E644" s="74"/>
      <c r="F644" s="62"/>
      <c r="G644" s="74"/>
      <c r="H644" s="75"/>
    </row>
    <row r="645" spans="1:8" ht="12.5" x14ac:dyDescent="0.25">
      <c r="A645" s="62"/>
      <c r="B645" s="62"/>
      <c r="C645" s="62"/>
      <c r="D645" s="62"/>
      <c r="E645" s="74"/>
      <c r="F645" s="62"/>
      <c r="G645" s="74"/>
      <c r="H645" s="75"/>
    </row>
    <row r="646" spans="1:8" ht="12.5" x14ac:dyDescent="0.25">
      <c r="A646" s="62"/>
      <c r="B646" s="62"/>
      <c r="C646" s="62"/>
      <c r="D646" s="62"/>
      <c r="E646" s="74"/>
      <c r="F646" s="62"/>
      <c r="G646" s="74"/>
      <c r="H646" s="75"/>
    </row>
    <row r="647" spans="1:8" ht="12.5" x14ac:dyDescent="0.25">
      <c r="A647" s="62"/>
      <c r="B647" s="62"/>
      <c r="C647" s="62"/>
      <c r="D647" s="62"/>
      <c r="E647" s="74"/>
      <c r="F647" s="62"/>
      <c r="G647" s="74"/>
      <c r="H647" s="75"/>
    </row>
    <row r="648" spans="1:8" ht="12.5" x14ac:dyDescent="0.25">
      <c r="A648" s="62"/>
      <c r="B648" s="62"/>
      <c r="C648" s="62"/>
      <c r="D648" s="62"/>
      <c r="E648" s="74"/>
      <c r="F648" s="62"/>
      <c r="G648" s="74"/>
      <c r="H648" s="75"/>
    </row>
    <row r="649" spans="1:8" ht="12.5" x14ac:dyDescent="0.25">
      <c r="A649" s="62"/>
      <c r="B649" s="62"/>
      <c r="C649" s="62"/>
      <c r="D649" s="62"/>
      <c r="E649" s="74"/>
      <c r="F649" s="62"/>
      <c r="G649" s="74"/>
      <c r="H649" s="75"/>
    </row>
    <row r="650" spans="1:8" ht="12.5" x14ac:dyDescent="0.25">
      <c r="A650" s="62"/>
      <c r="B650" s="62"/>
      <c r="C650" s="62"/>
      <c r="D650" s="62"/>
      <c r="E650" s="74"/>
      <c r="F650" s="62"/>
      <c r="G650" s="74"/>
      <c r="H650" s="75"/>
    </row>
    <row r="651" spans="1:8" ht="12.5" x14ac:dyDescent="0.25">
      <c r="A651" s="62"/>
      <c r="B651" s="62"/>
      <c r="C651" s="62"/>
      <c r="D651" s="62"/>
      <c r="E651" s="74"/>
      <c r="F651" s="62"/>
      <c r="G651" s="74"/>
      <c r="H651" s="75"/>
    </row>
    <row r="652" spans="1:8" ht="12.5" x14ac:dyDescent="0.25">
      <c r="A652" s="62"/>
      <c r="B652" s="62"/>
      <c r="C652" s="62"/>
      <c r="D652" s="62"/>
      <c r="E652" s="74"/>
      <c r="F652" s="62"/>
      <c r="G652" s="74"/>
      <c r="H652" s="75"/>
    </row>
    <row r="653" spans="1:8" ht="12.5" x14ac:dyDescent="0.25">
      <c r="A653" s="62"/>
      <c r="B653" s="62"/>
      <c r="C653" s="62"/>
      <c r="D653" s="62"/>
      <c r="E653" s="74"/>
      <c r="F653" s="62"/>
      <c r="G653" s="74"/>
      <c r="H653" s="75"/>
    </row>
    <row r="654" spans="1:8" ht="12.5" x14ac:dyDescent="0.25">
      <c r="A654" s="62"/>
      <c r="B654" s="62"/>
      <c r="C654" s="62"/>
      <c r="D654" s="62"/>
      <c r="E654" s="74"/>
      <c r="F654" s="62"/>
      <c r="G654" s="74"/>
      <c r="H654" s="75"/>
    </row>
    <row r="655" spans="1:8" ht="12.5" x14ac:dyDescent="0.25">
      <c r="A655" s="62"/>
      <c r="B655" s="62"/>
      <c r="C655" s="62"/>
      <c r="D655" s="62"/>
      <c r="E655" s="74"/>
      <c r="F655" s="62"/>
      <c r="G655" s="74"/>
      <c r="H655" s="75"/>
    </row>
    <row r="656" spans="1:8" ht="12.5" x14ac:dyDescent="0.25">
      <c r="A656" s="62"/>
      <c r="B656" s="62"/>
      <c r="C656" s="62"/>
      <c r="D656" s="62"/>
      <c r="E656" s="74"/>
      <c r="F656" s="62"/>
      <c r="G656" s="74"/>
      <c r="H656" s="75"/>
    </row>
    <row r="657" spans="1:8" ht="12.5" x14ac:dyDescent="0.25">
      <c r="A657" s="62"/>
      <c r="B657" s="62"/>
      <c r="C657" s="62"/>
      <c r="D657" s="62"/>
      <c r="E657" s="74"/>
      <c r="F657" s="62"/>
      <c r="G657" s="74"/>
      <c r="H657" s="75"/>
    </row>
    <row r="658" spans="1:8" ht="12.5" x14ac:dyDescent="0.25">
      <c r="A658" s="62"/>
      <c r="B658" s="62"/>
      <c r="C658" s="62"/>
      <c r="D658" s="62"/>
      <c r="E658" s="74"/>
      <c r="F658" s="62"/>
      <c r="G658" s="74"/>
      <c r="H658" s="75"/>
    </row>
    <row r="659" spans="1:8" ht="12.5" x14ac:dyDescent="0.25">
      <c r="A659" s="62"/>
      <c r="B659" s="62"/>
      <c r="C659" s="62"/>
      <c r="D659" s="62"/>
      <c r="E659" s="74"/>
      <c r="F659" s="62"/>
      <c r="G659" s="74"/>
      <c r="H659" s="75"/>
    </row>
    <row r="660" spans="1:8" ht="12.5" x14ac:dyDescent="0.25">
      <c r="A660" s="62"/>
      <c r="B660" s="62"/>
      <c r="C660" s="62"/>
      <c r="D660" s="62"/>
      <c r="E660" s="74"/>
      <c r="F660" s="62"/>
      <c r="G660" s="74"/>
      <c r="H660" s="75"/>
    </row>
    <row r="661" spans="1:8" ht="12.5" x14ac:dyDescent="0.25">
      <c r="A661" s="62"/>
      <c r="B661" s="62"/>
      <c r="C661" s="62"/>
      <c r="D661" s="62"/>
      <c r="E661" s="74"/>
      <c r="F661" s="62"/>
      <c r="G661" s="74"/>
      <c r="H661" s="75"/>
    </row>
    <row r="662" spans="1:8" ht="12.5" x14ac:dyDescent="0.25">
      <c r="A662" s="62"/>
      <c r="B662" s="62"/>
      <c r="C662" s="62"/>
      <c r="D662" s="62"/>
      <c r="E662" s="74"/>
      <c r="F662" s="62"/>
      <c r="G662" s="74"/>
      <c r="H662" s="75"/>
    </row>
    <row r="663" spans="1:8" ht="12.5" x14ac:dyDescent="0.25">
      <c r="A663" s="62"/>
      <c r="B663" s="62"/>
      <c r="C663" s="62"/>
      <c r="D663" s="62"/>
      <c r="E663" s="74"/>
      <c r="F663" s="62"/>
      <c r="G663" s="74"/>
      <c r="H663" s="75"/>
    </row>
    <row r="664" spans="1:8" ht="12.5" x14ac:dyDescent="0.25">
      <c r="A664" s="62"/>
      <c r="B664" s="62"/>
      <c r="C664" s="62"/>
      <c r="D664" s="62"/>
      <c r="E664" s="74"/>
      <c r="F664" s="62"/>
      <c r="G664" s="74"/>
      <c r="H664" s="75"/>
    </row>
    <row r="665" spans="1:8" ht="12.5" x14ac:dyDescent="0.25">
      <c r="A665" s="62"/>
      <c r="B665" s="62"/>
      <c r="C665" s="62"/>
      <c r="D665" s="62"/>
      <c r="E665" s="74"/>
      <c r="F665" s="62"/>
      <c r="G665" s="74"/>
      <c r="H665" s="75"/>
    </row>
    <row r="666" spans="1:8" ht="12.5" x14ac:dyDescent="0.25">
      <c r="A666" s="62"/>
      <c r="B666" s="62"/>
      <c r="C666" s="62"/>
      <c r="D666" s="62"/>
      <c r="E666" s="74"/>
      <c r="F666" s="62"/>
      <c r="G666" s="74"/>
      <c r="H666" s="75"/>
    </row>
    <row r="667" spans="1:8" ht="12.5" x14ac:dyDescent="0.25">
      <c r="A667" s="62"/>
      <c r="B667" s="62"/>
      <c r="C667" s="62"/>
      <c r="D667" s="62"/>
      <c r="E667" s="74"/>
      <c r="F667" s="62"/>
      <c r="G667" s="74"/>
      <c r="H667" s="75"/>
    </row>
    <row r="668" spans="1:8" ht="12.5" x14ac:dyDescent="0.25">
      <c r="A668" s="62"/>
      <c r="B668" s="62"/>
      <c r="C668" s="62"/>
      <c r="D668" s="62"/>
      <c r="E668" s="74"/>
      <c r="F668" s="62"/>
      <c r="G668" s="74"/>
      <c r="H668" s="75"/>
    </row>
    <row r="669" spans="1:8" ht="12.5" x14ac:dyDescent="0.25">
      <c r="A669" s="62"/>
      <c r="B669" s="62"/>
      <c r="C669" s="62"/>
      <c r="D669" s="62"/>
      <c r="E669" s="74"/>
      <c r="F669" s="62"/>
      <c r="G669" s="74"/>
      <c r="H669" s="75"/>
    </row>
    <row r="670" spans="1:8" ht="12.5" x14ac:dyDescent="0.25">
      <c r="A670" s="62"/>
      <c r="B670" s="62"/>
      <c r="C670" s="62"/>
      <c r="D670" s="62"/>
      <c r="E670" s="74"/>
      <c r="F670" s="62"/>
      <c r="G670" s="74"/>
      <c r="H670" s="75"/>
    </row>
    <row r="671" spans="1:8" ht="12.5" x14ac:dyDescent="0.25">
      <c r="A671" s="62"/>
      <c r="B671" s="62"/>
      <c r="C671" s="62"/>
      <c r="D671" s="62"/>
      <c r="E671" s="74"/>
      <c r="F671" s="62"/>
      <c r="G671" s="74"/>
      <c r="H671" s="75"/>
    </row>
    <row r="672" spans="1:8" ht="12.5" x14ac:dyDescent="0.25">
      <c r="A672" s="62"/>
      <c r="B672" s="62"/>
      <c r="C672" s="62"/>
      <c r="D672" s="62"/>
      <c r="E672" s="74"/>
      <c r="F672" s="62"/>
      <c r="G672" s="74"/>
      <c r="H672" s="75"/>
    </row>
    <row r="673" spans="1:8" ht="12.5" x14ac:dyDescent="0.25">
      <c r="A673" s="62"/>
      <c r="B673" s="62"/>
      <c r="C673" s="62"/>
      <c r="D673" s="62"/>
      <c r="E673" s="74"/>
      <c r="F673" s="62"/>
      <c r="G673" s="74"/>
      <c r="H673" s="75"/>
    </row>
    <row r="674" spans="1:8" ht="12.5" x14ac:dyDescent="0.25">
      <c r="A674" s="62"/>
      <c r="B674" s="62"/>
      <c r="C674" s="62"/>
      <c r="D674" s="62"/>
      <c r="E674" s="74"/>
      <c r="F674" s="62"/>
      <c r="G674" s="74"/>
      <c r="H674" s="75"/>
    </row>
    <row r="675" spans="1:8" ht="12.5" x14ac:dyDescent="0.25">
      <c r="A675" s="62"/>
      <c r="B675" s="62"/>
      <c r="C675" s="62"/>
      <c r="D675" s="62"/>
      <c r="E675" s="74"/>
      <c r="F675" s="62"/>
      <c r="G675" s="74"/>
      <c r="H675" s="75"/>
    </row>
    <row r="676" spans="1:8" ht="12.5" x14ac:dyDescent="0.25">
      <c r="A676" s="62"/>
      <c r="B676" s="62"/>
      <c r="C676" s="62"/>
      <c r="D676" s="62"/>
      <c r="E676" s="74"/>
      <c r="F676" s="62"/>
      <c r="G676" s="74"/>
      <c r="H676" s="75"/>
    </row>
    <row r="677" spans="1:8" ht="12.5" x14ac:dyDescent="0.25">
      <c r="A677" s="62"/>
      <c r="B677" s="62"/>
      <c r="C677" s="62"/>
      <c r="D677" s="62"/>
      <c r="E677" s="74"/>
      <c r="F677" s="62"/>
      <c r="G677" s="74"/>
      <c r="H677" s="75"/>
    </row>
    <row r="678" spans="1:8" ht="12.5" x14ac:dyDescent="0.25">
      <c r="A678" s="62"/>
      <c r="B678" s="62"/>
      <c r="C678" s="62"/>
      <c r="D678" s="62"/>
      <c r="E678" s="74"/>
      <c r="F678" s="62"/>
      <c r="G678" s="74"/>
      <c r="H678" s="75"/>
    </row>
    <row r="679" spans="1:8" ht="12.5" x14ac:dyDescent="0.25">
      <c r="A679" s="62"/>
      <c r="B679" s="62"/>
      <c r="C679" s="62"/>
      <c r="D679" s="62"/>
      <c r="E679" s="74"/>
      <c r="F679" s="62"/>
      <c r="G679" s="74"/>
      <c r="H679" s="75"/>
    </row>
    <row r="680" spans="1:8" ht="12.5" x14ac:dyDescent="0.25">
      <c r="A680" s="62"/>
      <c r="B680" s="62"/>
      <c r="C680" s="62"/>
      <c r="D680" s="62"/>
      <c r="E680" s="74"/>
      <c r="F680" s="62"/>
      <c r="G680" s="74"/>
      <c r="H680" s="75"/>
    </row>
    <row r="681" spans="1:8" ht="12.5" x14ac:dyDescent="0.25">
      <c r="A681" s="62"/>
      <c r="B681" s="62"/>
      <c r="C681" s="62"/>
      <c r="D681" s="62"/>
      <c r="E681" s="74"/>
      <c r="F681" s="62"/>
      <c r="G681" s="74"/>
      <c r="H681" s="75"/>
    </row>
    <row r="682" spans="1:8" ht="12.5" x14ac:dyDescent="0.25">
      <c r="A682" s="62"/>
      <c r="B682" s="62"/>
      <c r="C682" s="62"/>
      <c r="D682" s="62"/>
      <c r="E682" s="74"/>
      <c r="F682" s="62"/>
      <c r="G682" s="74"/>
      <c r="H682" s="75"/>
    </row>
    <row r="683" spans="1:8" ht="12.5" x14ac:dyDescent="0.25">
      <c r="A683" s="62"/>
      <c r="B683" s="62"/>
      <c r="C683" s="62"/>
      <c r="D683" s="62"/>
      <c r="E683" s="74"/>
      <c r="F683" s="62"/>
      <c r="G683" s="74"/>
      <c r="H683" s="75"/>
    </row>
    <row r="684" spans="1:8" ht="12.5" x14ac:dyDescent="0.25">
      <c r="A684" s="62"/>
      <c r="B684" s="62"/>
      <c r="C684" s="62"/>
      <c r="D684" s="62"/>
      <c r="E684" s="74"/>
      <c r="F684" s="62"/>
      <c r="G684" s="74"/>
      <c r="H684" s="75"/>
    </row>
    <row r="685" spans="1:8" ht="12.5" x14ac:dyDescent="0.25">
      <c r="A685" s="62"/>
      <c r="B685" s="62"/>
      <c r="C685" s="62"/>
      <c r="D685" s="62"/>
      <c r="E685" s="74"/>
      <c r="F685" s="62"/>
      <c r="G685" s="74"/>
      <c r="H685" s="75"/>
    </row>
    <row r="686" spans="1:8" ht="12.5" x14ac:dyDescent="0.25">
      <c r="A686" s="62"/>
      <c r="B686" s="62"/>
      <c r="C686" s="62"/>
      <c r="D686" s="62"/>
      <c r="E686" s="74"/>
      <c r="F686" s="62"/>
      <c r="G686" s="74"/>
      <c r="H686" s="75"/>
    </row>
    <row r="687" spans="1:8" ht="12.5" x14ac:dyDescent="0.25">
      <c r="A687" s="62"/>
      <c r="B687" s="62"/>
      <c r="C687" s="62"/>
      <c r="D687" s="62"/>
      <c r="E687" s="74"/>
      <c r="F687" s="62"/>
      <c r="G687" s="74"/>
      <c r="H687" s="75"/>
    </row>
    <row r="688" spans="1:8" ht="12.5" x14ac:dyDescent="0.25">
      <c r="A688" s="62"/>
      <c r="B688" s="62"/>
      <c r="C688" s="62"/>
      <c r="D688" s="62"/>
      <c r="E688" s="74"/>
      <c r="F688" s="62"/>
      <c r="G688" s="74"/>
      <c r="H688" s="75"/>
    </row>
    <row r="689" spans="1:8" ht="12.5" x14ac:dyDescent="0.25">
      <c r="A689" s="62"/>
      <c r="B689" s="62"/>
      <c r="C689" s="62"/>
      <c r="D689" s="62"/>
      <c r="E689" s="74"/>
      <c r="F689" s="62"/>
      <c r="G689" s="74"/>
      <c r="H689" s="75"/>
    </row>
    <row r="690" spans="1:8" ht="12.5" x14ac:dyDescent="0.25">
      <c r="A690" s="62"/>
      <c r="B690" s="62"/>
      <c r="C690" s="62"/>
      <c r="D690" s="62"/>
      <c r="E690" s="74"/>
      <c r="F690" s="62"/>
      <c r="G690" s="74"/>
      <c r="H690" s="75"/>
    </row>
    <row r="691" spans="1:8" ht="12.5" x14ac:dyDescent="0.25">
      <c r="A691" s="62"/>
      <c r="B691" s="62"/>
      <c r="C691" s="62"/>
      <c r="D691" s="62"/>
      <c r="E691" s="74"/>
      <c r="F691" s="62"/>
      <c r="G691" s="74"/>
      <c r="H691" s="75"/>
    </row>
    <row r="692" spans="1:8" ht="12.5" x14ac:dyDescent="0.25">
      <c r="A692" s="62"/>
      <c r="B692" s="62"/>
      <c r="C692" s="62"/>
      <c r="D692" s="62"/>
      <c r="E692" s="74"/>
      <c r="F692" s="62"/>
      <c r="G692" s="74"/>
      <c r="H692" s="75"/>
    </row>
    <row r="693" spans="1:8" ht="12.5" x14ac:dyDescent="0.25">
      <c r="A693" s="62"/>
      <c r="B693" s="62"/>
      <c r="C693" s="62"/>
      <c r="D693" s="62"/>
      <c r="E693" s="74"/>
      <c r="F693" s="62"/>
      <c r="G693" s="74"/>
      <c r="H693" s="75"/>
    </row>
    <row r="694" spans="1:8" ht="12.5" x14ac:dyDescent="0.25">
      <c r="A694" s="62"/>
      <c r="B694" s="62"/>
      <c r="C694" s="62"/>
      <c r="D694" s="62"/>
      <c r="E694" s="74"/>
      <c r="F694" s="62"/>
      <c r="G694" s="74"/>
      <c r="H694" s="75"/>
    </row>
    <row r="695" spans="1:8" ht="12.5" x14ac:dyDescent="0.25">
      <c r="A695" s="62"/>
      <c r="B695" s="62"/>
      <c r="C695" s="62"/>
      <c r="D695" s="62"/>
      <c r="E695" s="74"/>
      <c r="F695" s="62"/>
      <c r="G695" s="74"/>
      <c r="H695" s="75"/>
    </row>
    <row r="696" spans="1:8" ht="12.5" x14ac:dyDescent="0.25">
      <c r="A696" s="62"/>
      <c r="B696" s="62"/>
      <c r="C696" s="62"/>
      <c r="D696" s="62"/>
      <c r="E696" s="74"/>
      <c r="F696" s="62"/>
      <c r="G696" s="74"/>
      <c r="H696" s="75"/>
    </row>
    <row r="697" spans="1:8" ht="12.5" x14ac:dyDescent="0.25">
      <c r="A697" s="62"/>
      <c r="B697" s="62"/>
      <c r="C697" s="62"/>
      <c r="D697" s="62"/>
      <c r="E697" s="74"/>
      <c r="F697" s="62"/>
      <c r="G697" s="74"/>
      <c r="H697" s="75"/>
    </row>
    <row r="698" spans="1:8" ht="12.5" x14ac:dyDescent="0.25">
      <c r="A698" s="62"/>
      <c r="B698" s="62"/>
      <c r="C698" s="62"/>
      <c r="D698" s="62"/>
      <c r="E698" s="74"/>
      <c r="F698" s="62"/>
      <c r="G698" s="74"/>
      <c r="H698" s="75"/>
    </row>
    <row r="699" spans="1:8" ht="12.5" x14ac:dyDescent="0.25">
      <c r="A699" s="62"/>
      <c r="B699" s="62"/>
      <c r="C699" s="62"/>
      <c r="D699" s="62"/>
      <c r="E699" s="74"/>
      <c r="F699" s="62"/>
      <c r="G699" s="74"/>
      <c r="H699" s="75"/>
    </row>
    <row r="700" spans="1:8" ht="12.5" x14ac:dyDescent="0.25">
      <c r="A700" s="62"/>
      <c r="B700" s="62"/>
      <c r="C700" s="62"/>
      <c r="D700" s="62"/>
      <c r="E700" s="74"/>
      <c r="F700" s="62"/>
      <c r="G700" s="74"/>
      <c r="H700" s="75"/>
    </row>
    <row r="701" spans="1:8" ht="12.5" x14ac:dyDescent="0.25">
      <c r="A701" s="62"/>
      <c r="B701" s="62"/>
      <c r="C701" s="62"/>
      <c r="D701" s="62"/>
      <c r="E701" s="74"/>
      <c r="F701" s="62"/>
      <c r="G701" s="74"/>
      <c r="H701" s="75"/>
    </row>
    <row r="702" spans="1:8" ht="12.5" x14ac:dyDescent="0.25">
      <c r="A702" s="62"/>
      <c r="B702" s="62"/>
      <c r="C702" s="62"/>
      <c r="D702" s="62"/>
      <c r="E702" s="74"/>
      <c r="F702" s="62"/>
      <c r="G702" s="74"/>
      <c r="H702" s="75"/>
    </row>
    <row r="703" spans="1:8" ht="12.5" x14ac:dyDescent="0.25">
      <c r="A703" s="62"/>
      <c r="B703" s="62"/>
      <c r="C703" s="62"/>
      <c r="D703" s="62"/>
      <c r="E703" s="74"/>
      <c r="F703" s="62"/>
      <c r="G703" s="74"/>
      <c r="H703" s="75"/>
    </row>
    <row r="704" spans="1:8" ht="12.5" x14ac:dyDescent="0.25">
      <c r="A704" s="62"/>
      <c r="B704" s="62"/>
      <c r="C704" s="62"/>
      <c r="D704" s="62"/>
      <c r="E704" s="74"/>
      <c r="F704" s="62"/>
      <c r="G704" s="74"/>
      <c r="H704" s="75"/>
    </row>
    <row r="705" spans="1:8" ht="12.5" x14ac:dyDescent="0.25">
      <c r="A705" s="62"/>
      <c r="B705" s="62"/>
      <c r="C705" s="62"/>
      <c r="D705" s="62"/>
      <c r="E705" s="74"/>
      <c r="F705" s="62"/>
      <c r="G705" s="74"/>
      <c r="H705" s="75"/>
    </row>
    <row r="706" spans="1:8" ht="12.5" x14ac:dyDescent="0.25">
      <c r="A706" s="62"/>
      <c r="B706" s="62"/>
      <c r="C706" s="62"/>
      <c r="D706" s="62"/>
      <c r="E706" s="74"/>
      <c r="F706" s="62"/>
      <c r="G706" s="74"/>
      <c r="H706" s="75"/>
    </row>
    <row r="707" spans="1:8" ht="12.5" x14ac:dyDescent="0.25">
      <c r="A707" s="62"/>
      <c r="B707" s="62"/>
      <c r="C707" s="62"/>
      <c r="D707" s="62"/>
      <c r="E707" s="74"/>
      <c r="F707" s="62"/>
      <c r="G707" s="74"/>
      <c r="H707" s="75"/>
    </row>
    <row r="708" spans="1:8" ht="12.5" x14ac:dyDescent="0.25">
      <c r="A708" s="62"/>
      <c r="B708" s="62"/>
      <c r="C708" s="62"/>
      <c r="D708" s="62"/>
      <c r="E708" s="74"/>
      <c r="F708" s="62"/>
      <c r="G708" s="74"/>
      <c r="H708" s="75"/>
    </row>
    <row r="709" spans="1:8" ht="12.5" x14ac:dyDescent="0.25">
      <c r="A709" s="62"/>
      <c r="B709" s="62"/>
      <c r="C709" s="62"/>
      <c r="D709" s="62"/>
      <c r="E709" s="74"/>
      <c r="F709" s="62"/>
      <c r="G709" s="74"/>
      <c r="H709" s="75"/>
    </row>
    <row r="710" spans="1:8" ht="12.5" x14ac:dyDescent="0.25">
      <c r="A710" s="62"/>
      <c r="B710" s="62"/>
      <c r="C710" s="62"/>
      <c r="D710" s="62"/>
      <c r="E710" s="74"/>
      <c r="F710" s="62"/>
      <c r="G710" s="74"/>
      <c r="H710" s="75"/>
    </row>
    <row r="711" spans="1:8" ht="12.5" x14ac:dyDescent="0.25">
      <c r="A711" s="62"/>
      <c r="B711" s="62"/>
      <c r="C711" s="62"/>
      <c r="D711" s="62"/>
      <c r="E711" s="74"/>
      <c r="F711" s="62"/>
      <c r="G711" s="74"/>
      <c r="H711" s="75"/>
    </row>
    <row r="712" spans="1:8" ht="12.5" x14ac:dyDescent="0.25">
      <c r="A712" s="62"/>
      <c r="B712" s="62"/>
      <c r="C712" s="62"/>
      <c r="D712" s="62"/>
      <c r="E712" s="74"/>
      <c r="F712" s="62"/>
      <c r="G712" s="74"/>
      <c r="H712" s="75"/>
    </row>
    <row r="713" spans="1:8" ht="12.5" x14ac:dyDescent="0.25">
      <c r="A713" s="62"/>
      <c r="B713" s="62"/>
      <c r="C713" s="62"/>
      <c r="D713" s="62"/>
      <c r="E713" s="74"/>
      <c r="F713" s="62"/>
      <c r="G713" s="74"/>
      <c r="H713" s="75"/>
    </row>
    <row r="714" spans="1:8" ht="12.5" x14ac:dyDescent="0.25">
      <c r="A714" s="62"/>
      <c r="B714" s="62"/>
      <c r="C714" s="62"/>
      <c r="D714" s="62"/>
      <c r="E714" s="74"/>
      <c r="F714" s="62"/>
      <c r="G714" s="74"/>
      <c r="H714" s="75"/>
    </row>
    <row r="715" spans="1:8" ht="12.5" x14ac:dyDescent="0.25">
      <c r="A715" s="62"/>
      <c r="B715" s="62"/>
      <c r="C715" s="62"/>
      <c r="D715" s="62"/>
      <c r="E715" s="74"/>
      <c r="F715" s="62"/>
      <c r="G715" s="74"/>
      <c r="H715" s="75"/>
    </row>
    <row r="716" spans="1:8" ht="12.5" x14ac:dyDescent="0.25">
      <c r="A716" s="62"/>
      <c r="B716" s="62"/>
      <c r="C716" s="62"/>
      <c r="D716" s="62"/>
      <c r="E716" s="74"/>
      <c r="F716" s="62"/>
      <c r="G716" s="74"/>
      <c r="H716" s="75"/>
    </row>
    <row r="717" spans="1:8" ht="12.5" x14ac:dyDescent="0.25">
      <c r="A717" s="62"/>
      <c r="B717" s="62"/>
      <c r="C717" s="62"/>
      <c r="D717" s="62"/>
      <c r="E717" s="74"/>
      <c r="F717" s="62"/>
      <c r="G717" s="74"/>
      <c r="H717" s="75"/>
    </row>
    <row r="718" spans="1:8" ht="12.5" x14ac:dyDescent="0.25">
      <c r="A718" s="62"/>
      <c r="B718" s="62"/>
      <c r="C718" s="62"/>
      <c r="D718" s="62"/>
      <c r="E718" s="74"/>
      <c r="F718" s="62"/>
      <c r="G718" s="74"/>
      <c r="H718" s="75"/>
    </row>
    <row r="719" spans="1:8" ht="12.5" x14ac:dyDescent="0.25">
      <c r="A719" s="62"/>
      <c r="B719" s="62"/>
      <c r="C719" s="62"/>
      <c r="D719" s="62"/>
      <c r="E719" s="74"/>
      <c r="F719" s="62"/>
      <c r="G719" s="74"/>
      <c r="H719" s="75"/>
    </row>
    <row r="720" spans="1:8" ht="12.5" x14ac:dyDescent="0.25">
      <c r="A720" s="62"/>
      <c r="B720" s="62"/>
      <c r="C720" s="62"/>
      <c r="D720" s="62"/>
      <c r="E720" s="74"/>
      <c r="F720" s="62"/>
      <c r="G720" s="74"/>
      <c r="H720" s="75"/>
    </row>
    <row r="721" spans="1:8" ht="12.5" x14ac:dyDescent="0.25">
      <c r="A721" s="62"/>
      <c r="B721" s="62"/>
      <c r="C721" s="62"/>
      <c r="D721" s="62"/>
      <c r="E721" s="74"/>
      <c r="F721" s="62"/>
      <c r="G721" s="74"/>
      <c r="H721" s="75"/>
    </row>
    <row r="722" spans="1:8" ht="12.5" x14ac:dyDescent="0.25">
      <c r="A722" s="62"/>
      <c r="B722" s="62"/>
      <c r="C722" s="62"/>
      <c r="D722" s="62"/>
      <c r="E722" s="74"/>
      <c r="F722" s="62"/>
      <c r="G722" s="74"/>
      <c r="H722" s="75"/>
    </row>
    <row r="723" spans="1:8" ht="12.5" x14ac:dyDescent="0.25">
      <c r="A723" s="62"/>
      <c r="B723" s="62"/>
      <c r="C723" s="62"/>
      <c r="D723" s="62"/>
      <c r="E723" s="74"/>
      <c r="F723" s="62"/>
      <c r="G723" s="74"/>
      <c r="H723" s="75"/>
    </row>
    <row r="724" spans="1:8" ht="12.5" x14ac:dyDescent="0.25">
      <c r="A724" s="62"/>
      <c r="B724" s="62"/>
      <c r="C724" s="62"/>
      <c r="D724" s="62"/>
      <c r="E724" s="74"/>
      <c r="F724" s="62"/>
      <c r="G724" s="74"/>
      <c r="H724" s="75"/>
    </row>
    <row r="725" spans="1:8" ht="12.5" x14ac:dyDescent="0.25">
      <c r="A725" s="62"/>
      <c r="B725" s="62"/>
      <c r="C725" s="62"/>
      <c r="D725" s="62"/>
      <c r="E725" s="74"/>
      <c r="F725" s="62"/>
      <c r="G725" s="74"/>
      <c r="H725" s="75"/>
    </row>
    <row r="726" spans="1:8" ht="12.5" x14ac:dyDescent="0.25">
      <c r="A726" s="62"/>
      <c r="B726" s="62"/>
      <c r="C726" s="62"/>
      <c r="D726" s="62"/>
      <c r="E726" s="74"/>
      <c r="F726" s="62"/>
      <c r="G726" s="74"/>
      <c r="H726" s="75"/>
    </row>
    <row r="727" spans="1:8" ht="12.5" x14ac:dyDescent="0.25">
      <c r="A727" s="62"/>
      <c r="B727" s="62"/>
      <c r="C727" s="62"/>
      <c r="D727" s="62"/>
      <c r="E727" s="74"/>
      <c r="F727" s="62"/>
      <c r="G727" s="74"/>
      <c r="H727" s="75"/>
    </row>
    <row r="728" spans="1:8" ht="12.5" x14ac:dyDescent="0.25">
      <c r="A728" s="62"/>
      <c r="B728" s="62"/>
      <c r="C728" s="62"/>
      <c r="D728" s="62"/>
      <c r="E728" s="74"/>
      <c r="F728" s="62"/>
      <c r="G728" s="74"/>
      <c r="H728" s="75"/>
    </row>
    <row r="729" spans="1:8" ht="12.5" x14ac:dyDescent="0.25">
      <c r="A729" s="62"/>
      <c r="B729" s="62"/>
      <c r="C729" s="62"/>
      <c r="D729" s="62"/>
      <c r="E729" s="74"/>
      <c r="F729" s="62"/>
      <c r="G729" s="74"/>
      <c r="H729" s="75"/>
    </row>
    <row r="730" spans="1:8" ht="12.5" x14ac:dyDescent="0.25">
      <c r="A730" s="62"/>
      <c r="B730" s="62"/>
      <c r="C730" s="62"/>
      <c r="D730" s="62"/>
      <c r="E730" s="74"/>
      <c r="F730" s="62"/>
      <c r="G730" s="74"/>
      <c r="H730" s="75"/>
    </row>
    <row r="731" spans="1:8" ht="12.5" x14ac:dyDescent="0.25">
      <c r="A731" s="62"/>
      <c r="B731" s="62"/>
      <c r="C731" s="62"/>
      <c r="D731" s="62"/>
      <c r="E731" s="74"/>
      <c r="F731" s="62"/>
      <c r="G731" s="74"/>
      <c r="H731" s="75"/>
    </row>
    <row r="732" spans="1:8" ht="12.5" x14ac:dyDescent="0.25">
      <c r="A732" s="62"/>
      <c r="B732" s="62"/>
      <c r="C732" s="62"/>
      <c r="D732" s="62"/>
      <c r="E732" s="74"/>
      <c r="F732" s="62"/>
      <c r="G732" s="74"/>
      <c r="H732" s="75"/>
    </row>
    <row r="733" spans="1:8" ht="12.5" x14ac:dyDescent="0.25">
      <c r="A733" s="62"/>
      <c r="B733" s="62"/>
      <c r="C733" s="62"/>
      <c r="D733" s="62"/>
      <c r="E733" s="74"/>
      <c r="F733" s="62"/>
      <c r="G733" s="74"/>
      <c r="H733" s="75"/>
    </row>
    <row r="734" spans="1:8" ht="12.5" x14ac:dyDescent="0.25">
      <c r="A734" s="62"/>
      <c r="B734" s="62"/>
      <c r="C734" s="62"/>
      <c r="D734" s="62"/>
      <c r="E734" s="74"/>
      <c r="F734" s="62"/>
      <c r="G734" s="74"/>
      <c r="H734" s="75"/>
    </row>
    <row r="735" spans="1:8" ht="12.5" x14ac:dyDescent="0.25">
      <c r="A735" s="62"/>
      <c r="B735" s="62"/>
      <c r="C735" s="62"/>
      <c r="D735" s="62"/>
      <c r="E735" s="74"/>
      <c r="F735" s="62"/>
      <c r="G735" s="74"/>
      <c r="H735" s="75"/>
    </row>
    <row r="736" spans="1:8" ht="12.5" x14ac:dyDescent="0.25">
      <c r="A736" s="62"/>
      <c r="B736" s="62"/>
      <c r="C736" s="62"/>
      <c r="D736" s="62"/>
      <c r="E736" s="74"/>
      <c r="F736" s="62"/>
      <c r="G736" s="74"/>
      <c r="H736" s="75"/>
    </row>
    <row r="737" spans="1:8" ht="12.5" x14ac:dyDescent="0.25">
      <c r="A737" s="62"/>
      <c r="B737" s="62"/>
      <c r="C737" s="62"/>
      <c r="D737" s="62"/>
      <c r="E737" s="74"/>
      <c r="F737" s="62"/>
      <c r="G737" s="74"/>
      <c r="H737" s="75"/>
    </row>
    <row r="738" spans="1:8" ht="12.5" x14ac:dyDescent="0.25">
      <c r="A738" s="62"/>
      <c r="B738" s="62"/>
      <c r="C738" s="62"/>
      <c r="D738" s="62"/>
      <c r="E738" s="74"/>
      <c r="F738" s="62"/>
      <c r="G738" s="74"/>
      <c r="H738" s="75"/>
    </row>
    <row r="739" spans="1:8" ht="12.5" x14ac:dyDescent="0.25">
      <c r="A739" s="62"/>
      <c r="B739" s="62"/>
      <c r="C739" s="62"/>
      <c r="D739" s="62"/>
      <c r="E739" s="74"/>
      <c r="F739" s="62"/>
      <c r="G739" s="74"/>
      <c r="H739" s="75"/>
    </row>
    <row r="740" spans="1:8" ht="12.5" x14ac:dyDescent="0.25">
      <c r="A740" s="62"/>
      <c r="B740" s="62"/>
      <c r="C740" s="62"/>
      <c r="D740" s="62"/>
      <c r="E740" s="74"/>
      <c r="F740" s="62"/>
      <c r="G740" s="74"/>
      <c r="H740" s="75"/>
    </row>
    <row r="741" spans="1:8" ht="12.5" x14ac:dyDescent="0.25">
      <c r="A741" s="62"/>
      <c r="B741" s="62"/>
      <c r="C741" s="62"/>
      <c r="D741" s="62"/>
      <c r="E741" s="74"/>
      <c r="F741" s="62"/>
      <c r="G741" s="74"/>
      <c r="H741" s="75"/>
    </row>
    <row r="742" spans="1:8" ht="12.5" x14ac:dyDescent="0.25">
      <c r="A742" s="62"/>
      <c r="B742" s="62"/>
      <c r="C742" s="62"/>
      <c r="D742" s="62"/>
      <c r="E742" s="74"/>
      <c r="F742" s="62"/>
      <c r="G742" s="74"/>
      <c r="H742" s="75"/>
    </row>
    <row r="743" spans="1:8" ht="12.5" x14ac:dyDescent="0.25">
      <c r="A743" s="62"/>
      <c r="B743" s="62"/>
      <c r="C743" s="62"/>
      <c r="D743" s="62"/>
      <c r="E743" s="74"/>
      <c r="F743" s="62"/>
      <c r="G743" s="74"/>
      <c r="H743" s="75"/>
    </row>
    <row r="744" spans="1:8" ht="12.5" x14ac:dyDescent="0.25">
      <c r="A744" s="62"/>
      <c r="B744" s="62"/>
      <c r="C744" s="62"/>
      <c r="D744" s="62"/>
      <c r="E744" s="74"/>
      <c r="F744" s="62"/>
      <c r="G744" s="74"/>
      <c r="H744" s="75"/>
    </row>
    <row r="745" spans="1:8" ht="12.5" x14ac:dyDescent="0.25">
      <c r="A745" s="62"/>
      <c r="B745" s="62"/>
      <c r="C745" s="62"/>
      <c r="D745" s="62"/>
      <c r="E745" s="74"/>
      <c r="F745" s="62"/>
      <c r="G745" s="74"/>
      <c r="H745" s="75"/>
    </row>
    <row r="746" spans="1:8" ht="12.5" x14ac:dyDescent="0.25">
      <c r="A746" s="62"/>
      <c r="B746" s="62"/>
      <c r="C746" s="62"/>
      <c r="D746" s="62"/>
      <c r="E746" s="74"/>
      <c r="F746" s="62"/>
      <c r="G746" s="74"/>
      <c r="H746" s="75"/>
    </row>
    <row r="747" spans="1:8" ht="12.5" x14ac:dyDescent="0.25">
      <c r="A747" s="62"/>
      <c r="B747" s="62"/>
      <c r="C747" s="62"/>
      <c r="D747" s="62"/>
      <c r="E747" s="74"/>
      <c r="F747" s="62"/>
      <c r="G747" s="74"/>
      <c r="H747" s="75"/>
    </row>
    <row r="748" spans="1:8" ht="12.5" x14ac:dyDescent="0.25">
      <c r="A748" s="62"/>
      <c r="B748" s="62"/>
      <c r="C748" s="62"/>
      <c r="D748" s="62"/>
      <c r="E748" s="74"/>
      <c r="F748" s="62"/>
      <c r="G748" s="74"/>
      <c r="H748" s="75"/>
    </row>
    <row r="749" spans="1:8" ht="12.5" x14ac:dyDescent="0.25">
      <c r="A749" s="62"/>
      <c r="B749" s="62"/>
      <c r="C749" s="62"/>
      <c r="D749" s="62"/>
      <c r="E749" s="74"/>
      <c r="F749" s="62"/>
      <c r="G749" s="74"/>
      <c r="H749" s="75"/>
    </row>
    <row r="750" spans="1:8" ht="12.5" x14ac:dyDescent="0.25">
      <c r="A750" s="62"/>
      <c r="B750" s="62"/>
      <c r="C750" s="62"/>
      <c r="D750" s="62"/>
      <c r="E750" s="74"/>
      <c r="F750" s="62"/>
      <c r="G750" s="74"/>
      <c r="H750" s="75"/>
    </row>
    <row r="751" spans="1:8" ht="12.5" x14ac:dyDescent="0.25">
      <c r="A751" s="62"/>
      <c r="B751" s="62"/>
      <c r="C751" s="62"/>
      <c r="D751" s="62"/>
      <c r="E751" s="74"/>
      <c r="F751" s="62"/>
      <c r="G751" s="74"/>
      <c r="H751" s="75"/>
    </row>
    <row r="752" spans="1:8" ht="12.5" x14ac:dyDescent="0.25">
      <c r="A752" s="62"/>
      <c r="B752" s="62"/>
      <c r="C752" s="62"/>
      <c r="D752" s="62"/>
      <c r="E752" s="74"/>
      <c r="F752" s="62"/>
      <c r="G752" s="74"/>
      <c r="H752" s="75"/>
    </row>
    <row r="753" spans="1:8" ht="12.5" x14ac:dyDescent="0.25">
      <c r="A753" s="62"/>
      <c r="B753" s="62"/>
      <c r="C753" s="62"/>
      <c r="D753" s="62"/>
      <c r="E753" s="74"/>
      <c r="F753" s="62"/>
      <c r="G753" s="74"/>
      <c r="H753" s="75"/>
    </row>
    <row r="754" spans="1:8" ht="12.5" x14ac:dyDescent="0.25">
      <c r="A754" s="62"/>
      <c r="B754" s="62"/>
      <c r="C754" s="62"/>
      <c r="D754" s="62"/>
      <c r="E754" s="74"/>
      <c r="F754" s="62"/>
      <c r="G754" s="74"/>
      <c r="H754" s="75"/>
    </row>
    <row r="755" spans="1:8" ht="12.5" x14ac:dyDescent="0.25">
      <c r="A755" s="62"/>
      <c r="B755" s="62"/>
      <c r="C755" s="62"/>
      <c r="D755" s="62"/>
      <c r="E755" s="74"/>
      <c r="F755" s="62"/>
      <c r="G755" s="74"/>
      <c r="H755" s="75"/>
    </row>
    <row r="756" spans="1:8" ht="12.5" x14ac:dyDescent="0.25">
      <c r="A756" s="62"/>
      <c r="B756" s="62"/>
      <c r="C756" s="62"/>
      <c r="D756" s="62"/>
      <c r="E756" s="74"/>
      <c r="F756" s="62"/>
      <c r="G756" s="74"/>
      <c r="H756" s="75"/>
    </row>
    <row r="757" spans="1:8" ht="12.5" x14ac:dyDescent="0.25">
      <c r="A757" s="62"/>
      <c r="B757" s="62"/>
      <c r="C757" s="62"/>
      <c r="D757" s="62"/>
      <c r="E757" s="74"/>
      <c r="F757" s="62"/>
      <c r="G757" s="74"/>
      <c r="H757" s="75"/>
    </row>
    <row r="758" spans="1:8" ht="12.5" x14ac:dyDescent="0.25">
      <c r="A758" s="62"/>
      <c r="B758" s="62"/>
      <c r="C758" s="62"/>
      <c r="D758" s="62"/>
      <c r="E758" s="74"/>
      <c r="F758" s="62"/>
      <c r="G758" s="74"/>
      <c r="H758" s="75"/>
    </row>
    <row r="759" spans="1:8" ht="12.5" x14ac:dyDescent="0.25">
      <c r="A759" s="62"/>
      <c r="B759" s="62"/>
      <c r="C759" s="62"/>
      <c r="D759" s="62"/>
      <c r="E759" s="74"/>
      <c r="F759" s="62"/>
      <c r="G759" s="74"/>
      <c r="H759" s="75"/>
    </row>
    <row r="760" spans="1:8" ht="12.5" x14ac:dyDescent="0.25">
      <c r="A760" s="62"/>
      <c r="B760" s="62"/>
      <c r="C760" s="62"/>
      <c r="D760" s="62"/>
      <c r="E760" s="74"/>
      <c r="F760" s="62"/>
      <c r="G760" s="74"/>
      <c r="H760" s="75"/>
    </row>
    <row r="761" spans="1:8" ht="12.5" x14ac:dyDescent="0.25">
      <c r="A761" s="62"/>
      <c r="B761" s="62"/>
      <c r="C761" s="62"/>
      <c r="D761" s="62"/>
      <c r="E761" s="74"/>
      <c r="F761" s="62"/>
      <c r="G761" s="74"/>
      <c r="H761" s="75"/>
    </row>
    <row r="762" spans="1:8" ht="12.5" x14ac:dyDescent="0.25">
      <c r="A762" s="62"/>
      <c r="B762" s="62"/>
      <c r="C762" s="62"/>
      <c r="D762" s="62"/>
      <c r="E762" s="74"/>
      <c r="F762" s="62"/>
      <c r="G762" s="74"/>
      <c r="H762" s="75"/>
    </row>
    <row r="763" spans="1:8" ht="12.5" x14ac:dyDescent="0.25">
      <c r="A763" s="62"/>
      <c r="B763" s="62"/>
      <c r="C763" s="62"/>
      <c r="D763" s="62"/>
      <c r="E763" s="74"/>
      <c r="F763" s="62"/>
      <c r="G763" s="74"/>
      <c r="H763" s="75"/>
    </row>
    <row r="764" spans="1:8" ht="12.5" x14ac:dyDescent="0.25">
      <c r="A764" s="62"/>
      <c r="B764" s="62"/>
      <c r="C764" s="62"/>
      <c r="D764" s="62"/>
      <c r="E764" s="74"/>
      <c r="F764" s="62"/>
      <c r="G764" s="74"/>
      <c r="H764" s="75"/>
    </row>
    <row r="765" spans="1:8" ht="12.5" x14ac:dyDescent="0.25">
      <c r="A765" s="62"/>
      <c r="B765" s="62"/>
      <c r="C765" s="62"/>
      <c r="D765" s="62"/>
      <c r="E765" s="74"/>
      <c r="F765" s="62"/>
      <c r="G765" s="74"/>
      <c r="H765" s="75"/>
    </row>
    <row r="766" spans="1:8" ht="12.5" x14ac:dyDescent="0.25">
      <c r="A766" s="62"/>
      <c r="B766" s="62"/>
      <c r="C766" s="62"/>
      <c r="D766" s="62"/>
      <c r="E766" s="74"/>
      <c r="F766" s="62"/>
      <c r="G766" s="74"/>
      <c r="H766" s="75"/>
    </row>
    <row r="767" spans="1:8" ht="12.5" x14ac:dyDescent="0.25">
      <c r="A767" s="62"/>
      <c r="B767" s="62"/>
      <c r="C767" s="62"/>
      <c r="D767" s="62"/>
      <c r="E767" s="74"/>
      <c r="F767" s="62"/>
      <c r="G767" s="74"/>
      <c r="H767" s="75"/>
    </row>
    <row r="768" spans="1:8" ht="12.5" x14ac:dyDescent="0.25">
      <c r="A768" s="62"/>
      <c r="B768" s="62"/>
      <c r="C768" s="62"/>
      <c r="D768" s="62"/>
      <c r="E768" s="74"/>
      <c r="F768" s="62"/>
      <c r="G768" s="74"/>
      <c r="H768" s="75"/>
    </row>
    <row r="769" spans="1:8" ht="12.5" x14ac:dyDescent="0.25">
      <c r="A769" s="62"/>
      <c r="B769" s="62"/>
      <c r="C769" s="62"/>
      <c r="D769" s="62"/>
      <c r="E769" s="74"/>
      <c r="F769" s="62"/>
      <c r="G769" s="74"/>
      <c r="H769" s="75"/>
    </row>
    <row r="770" spans="1:8" ht="12.5" x14ac:dyDescent="0.25">
      <c r="A770" s="62"/>
      <c r="B770" s="62"/>
      <c r="C770" s="62"/>
      <c r="D770" s="62"/>
      <c r="E770" s="74"/>
      <c r="F770" s="62"/>
      <c r="G770" s="74"/>
      <c r="H770" s="75"/>
    </row>
    <row r="771" spans="1:8" ht="12.5" x14ac:dyDescent="0.25">
      <c r="A771" s="62"/>
      <c r="B771" s="62"/>
      <c r="C771" s="62"/>
      <c r="D771" s="62"/>
      <c r="E771" s="74"/>
      <c r="F771" s="62"/>
      <c r="G771" s="74"/>
      <c r="H771" s="75"/>
    </row>
    <row r="772" spans="1:8" ht="12.5" x14ac:dyDescent="0.25">
      <c r="A772" s="62"/>
      <c r="B772" s="62"/>
      <c r="C772" s="62"/>
      <c r="D772" s="62"/>
      <c r="E772" s="74"/>
      <c r="F772" s="62"/>
      <c r="G772" s="74"/>
      <c r="H772" s="75"/>
    </row>
    <row r="773" spans="1:8" ht="12.5" x14ac:dyDescent="0.25">
      <c r="A773" s="62"/>
      <c r="B773" s="62"/>
      <c r="C773" s="62"/>
      <c r="D773" s="62"/>
      <c r="E773" s="74"/>
      <c r="F773" s="62"/>
      <c r="G773" s="74"/>
      <c r="H773" s="75"/>
    </row>
    <row r="774" spans="1:8" ht="12.5" x14ac:dyDescent="0.25">
      <c r="A774" s="62"/>
      <c r="B774" s="62"/>
      <c r="C774" s="62"/>
      <c r="D774" s="62"/>
      <c r="E774" s="74"/>
      <c r="F774" s="62"/>
      <c r="G774" s="74"/>
      <c r="H774" s="75"/>
    </row>
    <row r="775" spans="1:8" ht="12.5" x14ac:dyDescent="0.25">
      <c r="A775" s="62"/>
      <c r="B775" s="62"/>
      <c r="C775" s="62"/>
      <c r="D775" s="62"/>
      <c r="E775" s="74"/>
      <c r="F775" s="62"/>
      <c r="G775" s="74"/>
      <c r="H775" s="75"/>
    </row>
    <row r="776" spans="1:8" ht="12.5" x14ac:dyDescent="0.25">
      <c r="A776" s="62"/>
      <c r="B776" s="62"/>
      <c r="C776" s="62"/>
      <c r="D776" s="62"/>
      <c r="E776" s="74"/>
      <c r="F776" s="62"/>
      <c r="G776" s="74"/>
      <c r="H776" s="75"/>
    </row>
    <row r="777" spans="1:8" ht="12.5" x14ac:dyDescent="0.25">
      <c r="A777" s="62"/>
      <c r="B777" s="62"/>
      <c r="C777" s="62"/>
      <c r="D777" s="62"/>
      <c r="E777" s="74"/>
      <c r="F777" s="62"/>
      <c r="G777" s="74"/>
      <c r="H777" s="75"/>
    </row>
    <row r="778" spans="1:8" ht="12.5" x14ac:dyDescent="0.25">
      <c r="A778" s="62"/>
      <c r="B778" s="62"/>
      <c r="C778" s="62"/>
      <c r="D778" s="62"/>
      <c r="E778" s="74"/>
      <c r="F778" s="62"/>
      <c r="G778" s="74"/>
      <c r="H778" s="75"/>
    </row>
    <row r="779" spans="1:8" ht="12.5" x14ac:dyDescent="0.25">
      <c r="A779" s="62"/>
      <c r="B779" s="62"/>
      <c r="C779" s="62"/>
      <c r="D779" s="62"/>
      <c r="E779" s="74"/>
      <c r="F779" s="62"/>
      <c r="G779" s="74"/>
      <c r="H779" s="75"/>
    </row>
    <row r="780" spans="1:8" ht="12.5" x14ac:dyDescent="0.25">
      <c r="A780" s="62"/>
      <c r="B780" s="62"/>
      <c r="C780" s="62"/>
      <c r="D780" s="62"/>
      <c r="E780" s="74"/>
      <c r="F780" s="62"/>
      <c r="G780" s="74"/>
      <c r="H780" s="75"/>
    </row>
    <row r="781" spans="1:8" ht="12.5" x14ac:dyDescent="0.25">
      <c r="A781" s="62"/>
      <c r="B781" s="62"/>
      <c r="C781" s="62"/>
      <c r="D781" s="62"/>
      <c r="E781" s="74"/>
      <c r="F781" s="62"/>
      <c r="G781" s="74"/>
      <c r="H781" s="75"/>
    </row>
    <row r="782" spans="1:8" ht="12.5" x14ac:dyDescent="0.25">
      <c r="A782" s="62"/>
      <c r="B782" s="62"/>
      <c r="C782" s="62"/>
      <c r="D782" s="62"/>
      <c r="E782" s="74"/>
      <c r="F782" s="62"/>
      <c r="G782" s="74"/>
      <c r="H782" s="75"/>
    </row>
    <row r="783" spans="1:8" ht="12.5" x14ac:dyDescent="0.25">
      <c r="A783" s="62"/>
      <c r="B783" s="62"/>
      <c r="C783" s="62"/>
      <c r="D783" s="62"/>
      <c r="E783" s="74"/>
      <c r="F783" s="62"/>
      <c r="G783" s="74"/>
      <c r="H783" s="75"/>
    </row>
    <row r="784" spans="1:8" ht="12.5" x14ac:dyDescent="0.25">
      <c r="A784" s="62"/>
      <c r="B784" s="62"/>
      <c r="C784" s="62"/>
      <c r="D784" s="62"/>
      <c r="E784" s="74"/>
      <c r="F784" s="62"/>
      <c r="G784" s="74"/>
      <c r="H784" s="75"/>
    </row>
    <row r="785" spans="1:8" ht="12.5" x14ac:dyDescent="0.25">
      <c r="A785" s="62"/>
      <c r="B785" s="62"/>
      <c r="C785" s="62"/>
      <c r="D785" s="62"/>
      <c r="E785" s="74"/>
      <c r="F785" s="62"/>
      <c r="G785" s="74"/>
      <c r="H785" s="75"/>
    </row>
    <row r="786" spans="1:8" ht="12.5" x14ac:dyDescent="0.25">
      <c r="A786" s="62"/>
      <c r="B786" s="62"/>
      <c r="C786" s="62"/>
      <c r="D786" s="62"/>
      <c r="E786" s="74"/>
      <c r="F786" s="62"/>
      <c r="G786" s="74"/>
      <c r="H786" s="75"/>
    </row>
    <row r="787" spans="1:8" ht="12.5" x14ac:dyDescent="0.25">
      <c r="A787" s="62"/>
      <c r="B787" s="62"/>
      <c r="C787" s="62"/>
      <c r="D787" s="62"/>
      <c r="E787" s="74"/>
      <c r="F787" s="62"/>
      <c r="G787" s="74"/>
      <c r="H787" s="75"/>
    </row>
    <row r="788" spans="1:8" ht="12.5" x14ac:dyDescent="0.25">
      <c r="A788" s="62"/>
      <c r="B788" s="62"/>
      <c r="C788" s="62"/>
      <c r="D788" s="62"/>
      <c r="E788" s="74"/>
      <c r="F788" s="62"/>
      <c r="G788" s="74"/>
      <c r="H788" s="75"/>
    </row>
    <row r="789" spans="1:8" ht="12.5" x14ac:dyDescent="0.25">
      <c r="A789" s="62"/>
      <c r="B789" s="62"/>
      <c r="C789" s="62"/>
      <c r="D789" s="62"/>
      <c r="E789" s="74"/>
      <c r="F789" s="62"/>
      <c r="G789" s="74"/>
      <c r="H789" s="75"/>
    </row>
    <row r="790" spans="1:8" ht="12.5" x14ac:dyDescent="0.25">
      <c r="A790" s="62"/>
      <c r="B790" s="62"/>
      <c r="C790" s="62"/>
      <c r="D790" s="62"/>
      <c r="E790" s="74"/>
      <c r="F790" s="62"/>
      <c r="G790" s="74"/>
      <c r="H790" s="75"/>
    </row>
    <row r="791" spans="1:8" ht="12.5" x14ac:dyDescent="0.25">
      <c r="A791" s="62"/>
      <c r="B791" s="62"/>
      <c r="C791" s="62"/>
      <c r="D791" s="62"/>
      <c r="E791" s="74"/>
      <c r="F791" s="62"/>
      <c r="G791" s="74"/>
      <c r="H791" s="75"/>
    </row>
    <row r="792" spans="1:8" ht="12.5" x14ac:dyDescent="0.25">
      <c r="A792" s="62"/>
      <c r="B792" s="62"/>
      <c r="C792" s="62"/>
      <c r="D792" s="62"/>
      <c r="E792" s="74"/>
      <c r="F792" s="62"/>
      <c r="G792" s="74"/>
      <c r="H792" s="75"/>
    </row>
    <row r="793" spans="1:8" ht="12.5" x14ac:dyDescent="0.25">
      <c r="A793" s="62"/>
      <c r="B793" s="62"/>
      <c r="C793" s="62"/>
      <c r="D793" s="62"/>
      <c r="E793" s="74"/>
      <c r="F793" s="62"/>
      <c r="G793" s="74"/>
      <c r="H793" s="75"/>
    </row>
    <row r="794" spans="1:8" ht="12.5" x14ac:dyDescent="0.25">
      <c r="A794" s="62"/>
      <c r="B794" s="62"/>
      <c r="C794" s="62"/>
      <c r="D794" s="62"/>
      <c r="E794" s="74"/>
      <c r="F794" s="62"/>
      <c r="G794" s="74"/>
      <c r="H794" s="75"/>
    </row>
    <row r="795" spans="1:8" ht="12.5" x14ac:dyDescent="0.25">
      <c r="A795" s="62"/>
      <c r="B795" s="62"/>
      <c r="C795" s="62"/>
      <c r="D795" s="62"/>
      <c r="E795" s="74"/>
      <c r="F795" s="62"/>
      <c r="G795" s="74"/>
      <c r="H795" s="75"/>
    </row>
    <row r="796" spans="1:8" ht="12.5" x14ac:dyDescent="0.25">
      <c r="A796" s="62"/>
      <c r="B796" s="62"/>
      <c r="C796" s="62"/>
      <c r="D796" s="62"/>
      <c r="E796" s="74"/>
      <c r="F796" s="62"/>
      <c r="G796" s="74"/>
      <c r="H796" s="75"/>
    </row>
    <row r="797" spans="1:8" ht="12.5" x14ac:dyDescent="0.25">
      <c r="A797" s="62"/>
      <c r="B797" s="62"/>
      <c r="C797" s="62"/>
      <c r="D797" s="62"/>
      <c r="E797" s="74"/>
      <c r="F797" s="62"/>
      <c r="G797" s="74"/>
      <c r="H797" s="75"/>
    </row>
    <row r="798" spans="1:8" ht="12.5" x14ac:dyDescent="0.25">
      <c r="A798" s="62"/>
      <c r="B798" s="62"/>
      <c r="C798" s="62"/>
      <c r="D798" s="62"/>
      <c r="E798" s="74"/>
      <c r="F798" s="62"/>
      <c r="G798" s="74"/>
      <c r="H798" s="75"/>
    </row>
    <row r="799" spans="1:8" ht="12.5" x14ac:dyDescent="0.25">
      <c r="A799" s="62"/>
      <c r="B799" s="62"/>
      <c r="C799" s="62"/>
      <c r="D799" s="62"/>
      <c r="E799" s="74"/>
      <c r="F799" s="62"/>
      <c r="G799" s="74"/>
      <c r="H799" s="75"/>
    </row>
    <row r="800" spans="1:8" ht="12.5" x14ac:dyDescent="0.25">
      <c r="A800" s="62"/>
      <c r="B800" s="62"/>
      <c r="C800" s="62"/>
      <c r="D800" s="62"/>
      <c r="E800" s="74"/>
      <c r="F800" s="62"/>
      <c r="G800" s="74"/>
      <c r="H800" s="75"/>
    </row>
    <row r="801" spans="1:8" ht="12.5" x14ac:dyDescent="0.25">
      <c r="A801" s="62"/>
      <c r="B801" s="62"/>
      <c r="C801" s="62"/>
      <c r="D801" s="62"/>
      <c r="E801" s="74"/>
      <c r="F801" s="62"/>
      <c r="G801" s="74"/>
      <c r="H801" s="75"/>
    </row>
    <row r="802" spans="1:8" ht="12.5" x14ac:dyDescent="0.25">
      <c r="A802" s="62"/>
      <c r="B802" s="62"/>
      <c r="C802" s="62"/>
      <c r="D802" s="62"/>
      <c r="E802" s="74"/>
      <c r="F802" s="62"/>
      <c r="G802" s="74"/>
      <c r="H802" s="75"/>
    </row>
    <row r="803" spans="1:8" ht="12.5" x14ac:dyDescent="0.25">
      <c r="A803" s="62"/>
      <c r="B803" s="62"/>
      <c r="C803" s="62"/>
      <c r="D803" s="62"/>
      <c r="E803" s="74"/>
      <c r="F803" s="62"/>
      <c r="G803" s="74"/>
      <c r="H803" s="75"/>
    </row>
    <row r="804" spans="1:8" ht="12.5" x14ac:dyDescent="0.25">
      <c r="A804" s="62"/>
      <c r="B804" s="62"/>
      <c r="C804" s="62"/>
      <c r="D804" s="62"/>
      <c r="E804" s="74"/>
      <c r="F804" s="62"/>
      <c r="G804" s="74"/>
      <c r="H804" s="75"/>
    </row>
    <row r="805" spans="1:8" ht="12.5" x14ac:dyDescent="0.25">
      <c r="A805" s="62"/>
      <c r="B805" s="62"/>
      <c r="C805" s="62"/>
      <c r="D805" s="62"/>
      <c r="E805" s="74"/>
      <c r="F805" s="62"/>
      <c r="G805" s="74"/>
      <c r="H805" s="75"/>
    </row>
    <row r="806" spans="1:8" ht="12.5" x14ac:dyDescent="0.25">
      <c r="A806" s="62"/>
      <c r="B806" s="62"/>
      <c r="C806" s="62"/>
      <c r="D806" s="62"/>
      <c r="E806" s="74"/>
      <c r="F806" s="62"/>
      <c r="G806" s="74"/>
      <c r="H806" s="75"/>
    </row>
    <row r="807" spans="1:8" ht="12.5" x14ac:dyDescent="0.25">
      <c r="A807" s="62"/>
      <c r="B807" s="62"/>
      <c r="C807" s="62"/>
      <c r="D807" s="62"/>
      <c r="E807" s="74"/>
      <c r="F807" s="62"/>
      <c r="G807" s="74"/>
      <c r="H807" s="75"/>
    </row>
    <row r="808" spans="1:8" ht="12.5" x14ac:dyDescent="0.25">
      <c r="A808" s="62"/>
      <c r="B808" s="62"/>
      <c r="C808" s="62"/>
      <c r="D808" s="62"/>
      <c r="E808" s="74"/>
      <c r="F808" s="62"/>
      <c r="G808" s="74"/>
      <c r="H808" s="75"/>
    </row>
    <row r="809" spans="1:8" ht="12.5" x14ac:dyDescent="0.25">
      <c r="A809" s="62"/>
      <c r="B809" s="62"/>
      <c r="C809" s="62"/>
      <c r="D809" s="62"/>
      <c r="E809" s="74"/>
      <c r="F809" s="62"/>
      <c r="G809" s="74"/>
      <c r="H809" s="75"/>
    </row>
    <row r="810" spans="1:8" ht="12.5" x14ac:dyDescent="0.25">
      <c r="A810" s="62"/>
      <c r="B810" s="62"/>
      <c r="C810" s="62"/>
      <c r="D810" s="62"/>
      <c r="E810" s="74"/>
      <c r="F810" s="62"/>
      <c r="G810" s="74"/>
      <c r="H810" s="75"/>
    </row>
    <row r="811" spans="1:8" ht="12.5" x14ac:dyDescent="0.25">
      <c r="A811" s="62"/>
      <c r="B811" s="62"/>
      <c r="C811" s="62"/>
      <c r="D811" s="62"/>
      <c r="E811" s="74"/>
      <c r="F811" s="62"/>
      <c r="G811" s="74"/>
      <c r="H811" s="75"/>
    </row>
    <row r="812" spans="1:8" ht="12.5" x14ac:dyDescent="0.25">
      <c r="A812" s="62"/>
      <c r="B812" s="62"/>
      <c r="C812" s="62"/>
      <c r="D812" s="62"/>
      <c r="E812" s="74"/>
      <c r="F812" s="62"/>
      <c r="G812" s="74"/>
      <c r="H812" s="75"/>
    </row>
    <row r="813" spans="1:8" ht="12.5" x14ac:dyDescent="0.25">
      <c r="A813" s="62"/>
      <c r="B813" s="62"/>
      <c r="C813" s="62"/>
      <c r="D813" s="62"/>
      <c r="E813" s="74"/>
      <c r="F813" s="62"/>
      <c r="G813" s="74"/>
      <c r="H813" s="75"/>
    </row>
    <row r="814" spans="1:8" ht="12.5" x14ac:dyDescent="0.25">
      <c r="A814" s="62"/>
      <c r="B814" s="62"/>
      <c r="C814" s="62"/>
      <c r="D814" s="62"/>
      <c r="E814" s="74"/>
      <c r="F814" s="62"/>
      <c r="G814" s="74"/>
      <c r="H814" s="75"/>
    </row>
    <row r="815" spans="1:8" ht="12.5" x14ac:dyDescent="0.25">
      <c r="A815" s="62"/>
      <c r="B815" s="62"/>
      <c r="C815" s="62"/>
      <c r="D815" s="62"/>
      <c r="E815" s="74"/>
      <c r="F815" s="62"/>
      <c r="G815" s="74"/>
      <c r="H815" s="75"/>
    </row>
    <row r="816" spans="1:8" ht="12.5" x14ac:dyDescent="0.25">
      <c r="A816" s="62"/>
      <c r="B816" s="62"/>
      <c r="C816" s="62"/>
      <c r="D816" s="62"/>
      <c r="E816" s="74"/>
      <c r="F816" s="62"/>
      <c r="G816" s="74"/>
      <c r="H816" s="75"/>
    </row>
    <row r="817" spans="1:8" ht="12.5" x14ac:dyDescent="0.25">
      <c r="A817" s="62"/>
      <c r="B817" s="62"/>
      <c r="C817" s="62"/>
      <c r="D817" s="62"/>
      <c r="E817" s="74"/>
      <c r="F817" s="62"/>
      <c r="G817" s="74"/>
      <c r="H817" s="75"/>
    </row>
    <row r="818" spans="1:8" ht="12.5" x14ac:dyDescent="0.25">
      <c r="A818" s="62"/>
      <c r="B818" s="62"/>
      <c r="C818" s="62"/>
      <c r="D818" s="62"/>
      <c r="E818" s="74"/>
      <c r="F818" s="62"/>
      <c r="G818" s="74"/>
      <c r="H818" s="75"/>
    </row>
    <row r="819" spans="1:8" ht="12.5" x14ac:dyDescent="0.25">
      <c r="A819" s="62"/>
      <c r="B819" s="62"/>
      <c r="C819" s="62"/>
      <c r="D819" s="62"/>
      <c r="E819" s="74"/>
      <c r="F819" s="62"/>
      <c r="G819" s="74"/>
      <c r="H819" s="75"/>
    </row>
    <row r="820" spans="1:8" ht="12.5" x14ac:dyDescent="0.25">
      <c r="A820" s="62"/>
      <c r="B820" s="62"/>
      <c r="C820" s="62"/>
      <c r="D820" s="62"/>
      <c r="E820" s="74"/>
      <c r="F820" s="62"/>
      <c r="G820" s="74"/>
      <c r="H820" s="75"/>
    </row>
    <row r="821" spans="1:8" ht="12.5" x14ac:dyDescent="0.25">
      <c r="A821" s="62"/>
      <c r="B821" s="62"/>
      <c r="C821" s="62"/>
      <c r="D821" s="62"/>
      <c r="E821" s="74"/>
      <c r="F821" s="62"/>
      <c r="G821" s="74"/>
      <c r="H821" s="75"/>
    </row>
    <row r="822" spans="1:8" ht="12.5" x14ac:dyDescent="0.25">
      <c r="A822" s="62"/>
      <c r="B822" s="62"/>
      <c r="C822" s="62"/>
      <c r="D822" s="62"/>
      <c r="E822" s="74"/>
      <c r="F822" s="62"/>
      <c r="G822" s="74"/>
      <c r="H822" s="75"/>
    </row>
    <row r="823" spans="1:8" ht="12.5" x14ac:dyDescent="0.25">
      <c r="A823" s="62"/>
      <c r="B823" s="62"/>
      <c r="C823" s="62"/>
      <c r="D823" s="62"/>
      <c r="E823" s="74"/>
      <c r="F823" s="62"/>
      <c r="G823" s="74"/>
      <c r="H823" s="75"/>
    </row>
    <row r="824" spans="1:8" ht="12.5" x14ac:dyDescent="0.25">
      <c r="A824" s="62"/>
      <c r="B824" s="62"/>
      <c r="C824" s="62"/>
      <c r="D824" s="62"/>
      <c r="E824" s="74"/>
      <c r="F824" s="62"/>
      <c r="G824" s="74"/>
      <c r="H824" s="75"/>
    </row>
    <row r="825" spans="1:8" ht="12.5" x14ac:dyDescent="0.25">
      <c r="A825" s="62"/>
      <c r="B825" s="62"/>
      <c r="C825" s="62"/>
      <c r="D825" s="62"/>
      <c r="E825" s="74"/>
      <c r="F825" s="62"/>
      <c r="G825" s="74"/>
      <c r="H825" s="75"/>
    </row>
    <row r="826" spans="1:8" ht="12.5" x14ac:dyDescent="0.25">
      <c r="A826" s="62"/>
      <c r="B826" s="62"/>
      <c r="C826" s="62"/>
      <c r="D826" s="62"/>
      <c r="E826" s="74"/>
      <c r="F826" s="62"/>
      <c r="G826" s="74"/>
      <c r="H826" s="75"/>
    </row>
    <row r="827" spans="1:8" ht="12.5" x14ac:dyDescent="0.25">
      <c r="A827" s="62"/>
      <c r="B827" s="62"/>
      <c r="C827" s="62"/>
      <c r="D827" s="62"/>
      <c r="E827" s="74"/>
      <c r="F827" s="62"/>
      <c r="G827" s="74"/>
      <c r="H827" s="75"/>
    </row>
    <row r="828" spans="1:8" ht="12.5" x14ac:dyDescent="0.25">
      <c r="A828" s="62"/>
      <c r="B828" s="62"/>
      <c r="C828" s="62"/>
      <c r="D828" s="62"/>
      <c r="E828" s="74"/>
      <c r="F828" s="62"/>
      <c r="G828" s="74"/>
      <c r="H828" s="75"/>
    </row>
    <row r="829" spans="1:8" ht="12.5" x14ac:dyDescent="0.25">
      <c r="A829" s="62"/>
      <c r="B829" s="62"/>
      <c r="C829" s="62"/>
      <c r="D829" s="62"/>
      <c r="E829" s="74"/>
      <c r="F829" s="62"/>
      <c r="G829" s="74"/>
      <c r="H829" s="75"/>
    </row>
    <row r="830" spans="1:8" ht="12.5" x14ac:dyDescent="0.25">
      <c r="A830" s="62"/>
      <c r="B830" s="62"/>
      <c r="C830" s="62"/>
      <c r="D830" s="62"/>
      <c r="E830" s="74"/>
      <c r="F830" s="62"/>
      <c r="G830" s="74"/>
      <c r="H830" s="75"/>
    </row>
    <row r="831" spans="1:8" ht="12.5" x14ac:dyDescent="0.25">
      <c r="A831" s="62"/>
      <c r="B831" s="62"/>
      <c r="C831" s="62"/>
      <c r="D831" s="62"/>
      <c r="E831" s="74"/>
      <c r="F831" s="62"/>
      <c r="G831" s="74"/>
      <c r="H831" s="75"/>
    </row>
    <row r="832" spans="1:8" ht="12.5" x14ac:dyDescent="0.25">
      <c r="A832" s="62"/>
      <c r="B832" s="62"/>
      <c r="C832" s="62"/>
      <c r="D832" s="62"/>
      <c r="E832" s="74"/>
      <c r="F832" s="62"/>
      <c r="G832" s="74"/>
      <c r="H832" s="75"/>
    </row>
    <row r="833" spans="1:8" ht="12.5" x14ac:dyDescent="0.25">
      <c r="A833" s="62"/>
      <c r="B833" s="62"/>
      <c r="C833" s="62"/>
      <c r="D833" s="62"/>
      <c r="E833" s="74"/>
      <c r="F833" s="62"/>
      <c r="G833" s="74"/>
      <c r="H833" s="75"/>
    </row>
    <row r="834" spans="1:8" ht="12.5" x14ac:dyDescent="0.25">
      <c r="A834" s="62"/>
      <c r="B834" s="62"/>
      <c r="C834" s="62"/>
      <c r="D834" s="62"/>
      <c r="E834" s="74"/>
      <c r="F834" s="62"/>
      <c r="G834" s="74"/>
      <c r="H834" s="75"/>
    </row>
    <row r="835" spans="1:8" ht="12.5" x14ac:dyDescent="0.25">
      <c r="A835" s="62"/>
      <c r="B835" s="62"/>
      <c r="C835" s="62"/>
      <c r="D835" s="62"/>
      <c r="E835" s="74"/>
      <c r="F835" s="62"/>
      <c r="G835" s="74"/>
      <c r="H835" s="75"/>
    </row>
    <row r="836" spans="1:8" ht="12.5" x14ac:dyDescent="0.25">
      <c r="A836" s="62"/>
      <c r="B836" s="62"/>
      <c r="C836" s="62"/>
      <c r="D836" s="62"/>
      <c r="E836" s="74"/>
      <c r="F836" s="62"/>
      <c r="G836" s="74"/>
      <c r="H836" s="75"/>
    </row>
    <row r="837" spans="1:8" ht="12.5" x14ac:dyDescent="0.25">
      <c r="A837" s="62"/>
      <c r="B837" s="62"/>
      <c r="C837" s="62"/>
      <c r="D837" s="62"/>
      <c r="E837" s="74"/>
      <c r="F837" s="62"/>
      <c r="G837" s="74"/>
      <c r="H837" s="75"/>
    </row>
    <row r="838" spans="1:8" ht="12.5" x14ac:dyDescent="0.25">
      <c r="A838" s="62"/>
      <c r="B838" s="62"/>
      <c r="C838" s="62"/>
      <c r="D838" s="62"/>
      <c r="E838" s="74"/>
      <c r="F838" s="62"/>
      <c r="G838" s="74"/>
      <c r="H838" s="75"/>
    </row>
    <row r="839" spans="1:8" ht="12.5" x14ac:dyDescent="0.25">
      <c r="A839" s="62"/>
      <c r="B839" s="62"/>
      <c r="C839" s="62"/>
      <c r="D839" s="62"/>
      <c r="E839" s="74"/>
      <c r="F839" s="62"/>
      <c r="G839" s="74"/>
      <c r="H839" s="75"/>
    </row>
    <row r="840" spans="1:8" ht="12.5" x14ac:dyDescent="0.25">
      <c r="A840" s="62"/>
      <c r="B840" s="62"/>
      <c r="C840" s="62"/>
      <c r="D840" s="62"/>
      <c r="E840" s="74"/>
      <c r="F840" s="62"/>
      <c r="G840" s="74"/>
      <c r="H840" s="75"/>
    </row>
    <row r="841" spans="1:8" ht="12.5" x14ac:dyDescent="0.25">
      <c r="A841" s="62"/>
      <c r="B841" s="62"/>
      <c r="C841" s="62"/>
      <c r="D841" s="62"/>
      <c r="E841" s="74"/>
      <c r="F841" s="62"/>
      <c r="G841" s="74"/>
      <c r="H841" s="75"/>
    </row>
    <row r="842" spans="1:8" ht="12.5" x14ac:dyDescent="0.25">
      <c r="A842" s="62"/>
      <c r="B842" s="62"/>
      <c r="C842" s="62"/>
      <c r="D842" s="62"/>
      <c r="E842" s="74"/>
      <c r="F842" s="62"/>
      <c r="G842" s="74"/>
      <c r="H842" s="75"/>
    </row>
    <row r="843" spans="1:8" ht="12.5" x14ac:dyDescent="0.25">
      <c r="A843" s="62"/>
      <c r="B843" s="62"/>
      <c r="C843" s="62"/>
      <c r="D843" s="62"/>
      <c r="E843" s="74"/>
      <c r="F843" s="62"/>
      <c r="G843" s="74"/>
      <c r="H843" s="75"/>
    </row>
    <row r="844" spans="1:8" ht="12.5" x14ac:dyDescent="0.25">
      <c r="A844" s="62"/>
      <c r="B844" s="62"/>
      <c r="C844" s="62"/>
      <c r="D844" s="62"/>
      <c r="E844" s="74"/>
      <c r="F844" s="62"/>
      <c r="G844" s="74"/>
      <c r="H844" s="75"/>
    </row>
    <row r="845" spans="1:8" ht="12.5" x14ac:dyDescent="0.25">
      <c r="A845" s="62"/>
      <c r="B845" s="62"/>
      <c r="C845" s="62"/>
      <c r="D845" s="62"/>
      <c r="E845" s="74"/>
      <c r="F845" s="62"/>
      <c r="G845" s="74"/>
      <c r="H845" s="75"/>
    </row>
    <row r="846" spans="1:8" ht="12.5" x14ac:dyDescent="0.25">
      <c r="A846" s="62"/>
      <c r="B846" s="62"/>
      <c r="C846" s="62"/>
      <c r="D846" s="62"/>
      <c r="E846" s="74"/>
      <c r="F846" s="62"/>
      <c r="G846" s="74"/>
      <c r="H846" s="75"/>
    </row>
    <row r="847" spans="1:8" ht="12.5" x14ac:dyDescent="0.25">
      <c r="A847" s="62"/>
      <c r="B847" s="62"/>
      <c r="C847" s="62"/>
      <c r="D847" s="62"/>
      <c r="E847" s="74"/>
      <c r="F847" s="62"/>
      <c r="G847" s="74"/>
      <c r="H847" s="75"/>
    </row>
    <row r="848" spans="1:8" ht="12.5" x14ac:dyDescent="0.25">
      <c r="A848" s="62"/>
      <c r="B848" s="62"/>
      <c r="C848" s="62"/>
      <c r="D848" s="62"/>
      <c r="E848" s="74"/>
      <c r="F848" s="62"/>
      <c r="G848" s="74"/>
      <c r="H848" s="75"/>
    </row>
    <row r="849" spans="1:8" ht="12.5" x14ac:dyDescent="0.25">
      <c r="A849" s="62"/>
      <c r="B849" s="62"/>
      <c r="C849" s="62"/>
      <c r="D849" s="62"/>
      <c r="E849" s="74"/>
      <c r="F849" s="62"/>
      <c r="G849" s="74"/>
      <c r="H849" s="75"/>
    </row>
    <row r="850" spans="1:8" ht="12.5" x14ac:dyDescent="0.25">
      <c r="A850" s="62"/>
      <c r="B850" s="62"/>
      <c r="C850" s="62"/>
      <c r="D850" s="62"/>
      <c r="E850" s="74"/>
      <c r="F850" s="62"/>
      <c r="G850" s="74"/>
      <c r="H850" s="75"/>
    </row>
    <row r="851" spans="1:8" ht="12.5" x14ac:dyDescent="0.25">
      <c r="A851" s="62"/>
      <c r="B851" s="62"/>
      <c r="C851" s="62"/>
      <c r="D851" s="62"/>
      <c r="E851" s="74"/>
      <c r="F851" s="62"/>
      <c r="G851" s="74"/>
      <c r="H851" s="75"/>
    </row>
    <row r="852" spans="1:8" ht="12.5" x14ac:dyDescent="0.25">
      <c r="A852" s="62"/>
      <c r="B852" s="62"/>
      <c r="C852" s="62"/>
      <c r="D852" s="62"/>
      <c r="E852" s="74"/>
      <c r="F852" s="62"/>
      <c r="G852" s="74"/>
      <c r="H852" s="75"/>
    </row>
    <row r="853" spans="1:8" ht="12.5" x14ac:dyDescent="0.25">
      <c r="A853" s="62"/>
      <c r="B853" s="62"/>
      <c r="C853" s="62"/>
      <c r="D853" s="62"/>
      <c r="E853" s="74"/>
      <c r="F853" s="62"/>
      <c r="G853" s="74"/>
      <c r="H853" s="75"/>
    </row>
    <row r="854" spans="1:8" ht="12.5" x14ac:dyDescent="0.25">
      <c r="A854" s="62"/>
      <c r="B854" s="62"/>
      <c r="C854" s="62"/>
      <c r="D854" s="62"/>
      <c r="E854" s="74"/>
      <c r="F854" s="62"/>
      <c r="G854" s="74"/>
      <c r="H854" s="75"/>
    </row>
    <row r="855" spans="1:8" ht="12.5" x14ac:dyDescent="0.25">
      <c r="A855" s="62"/>
      <c r="B855" s="62"/>
      <c r="C855" s="62"/>
      <c r="D855" s="62"/>
      <c r="E855" s="74"/>
      <c r="F855" s="62"/>
      <c r="G855" s="74"/>
      <c r="H855" s="75"/>
    </row>
    <row r="856" spans="1:8" ht="12.5" x14ac:dyDescent="0.25">
      <c r="A856" s="62"/>
      <c r="B856" s="62"/>
      <c r="C856" s="62"/>
      <c r="D856" s="62"/>
      <c r="E856" s="74"/>
      <c r="F856" s="62"/>
      <c r="G856" s="74"/>
      <c r="H856" s="75"/>
    </row>
    <row r="857" spans="1:8" ht="12.5" x14ac:dyDescent="0.25">
      <c r="A857" s="62"/>
      <c r="B857" s="62"/>
      <c r="C857" s="62"/>
      <c r="D857" s="62"/>
      <c r="E857" s="74"/>
      <c r="F857" s="62"/>
      <c r="G857" s="74"/>
      <c r="H857" s="75"/>
    </row>
    <row r="858" spans="1:8" ht="12.5" x14ac:dyDescent="0.25">
      <c r="A858" s="62"/>
      <c r="B858" s="62"/>
      <c r="C858" s="62"/>
      <c r="D858" s="62"/>
      <c r="E858" s="74"/>
      <c r="F858" s="62"/>
      <c r="G858" s="74"/>
      <c r="H858" s="75"/>
    </row>
    <row r="859" spans="1:8" ht="12.5" x14ac:dyDescent="0.25">
      <c r="A859" s="62"/>
      <c r="B859" s="62"/>
      <c r="C859" s="62"/>
      <c r="D859" s="62"/>
      <c r="E859" s="74"/>
      <c r="F859" s="62"/>
      <c r="G859" s="74"/>
      <c r="H859" s="75"/>
    </row>
    <row r="860" spans="1:8" ht="12.5" x14ac:dyDescent="0.25">
      <c r="A860" s="62"/>
      <c r="B860" s="62"/>
      <c r="C860" s="62"/>
      <c r="D860" s="62"/>
      <c r="E860" s="74"/>
      <c r="F860" s="62"/>
      <c r="G860" s="74"/>
      <c r="H860" s="75"/>
    </row>
    <row r="861" spans="1:8" ht="12.5" x14ac:dyDescent="0.25">
      <c r="A861" s="62"/>
      <c r="B861" s="62"/>
      <c r="C861" s="62"/>
      <c r="D861" s="62"/>
      <c r="E861" s="74"/>
      <c r="F861" s="62"/>
      <c r="G861" s="74"/>
      <c r="H861" s="75"/>
    </row>
    <row r="862" spans="1:8" ht="12.5" x14ac:dyDescent="0.25">
      <c r="A862" s="62"/>
      <c r="B862" s="62"/>
      <c r="C862" s="62"/>
      <c r="D862" s="62"/>
      <c r="E862" s="74"/>
      <c r="F862" s="62"/>
      <c r="G862" s="74"/>
      <c r="H862" s="75"/>
    </row>
    <row r="863" spans="1:8" ht="12.5" x14ac:dyDescent="0.25">
      <c r="A863" s="62"/>
      <c r="B863" s="62"/>
      <c r="C863" s="62"/>
      <c r="D863" s="62"/>
      <c r="E863" s="74"/>
      <c r="F863" s="62"/>
      <c r="G863" s="74"/>
      <c r="H863" s="75"/>
    </row>
    <row r="864" spans="1:8" ht="12.5" x14ac:dyDescent="0.25">
      <c r="A864" s="62"/>
      <c r="B864" s="62"/>
      <c r="C864" s="62"/>
      <c r="D864" s="62"/>
      <c r="E864" s="74"/>
      <c r="F864" s="62"/>
      <c r="G864" s="74"/>
      <c r="H864" s="75"/>
    </row>
    <row r="865" spans="1:8" ht="12.5" x14ac:dyDescent="0.25">
      <c r="A865" s="62"/>
      <c r="B865" s="62"/>
      <c r="C865" s="62"/>
      <c r="D865" s="62"/>
      <c r="E865" s="74"/>
      <c r="F865" s="62"/>
      <c r="G865" s="74"/>
      <c r="H865" s="75"/>
    </row>
    <row r="866" spans="1:8" ht="12.5" x14ac:dyDescent="0.25">
      <c r="A866" s="62"/>
      <c r="B866" s="62"/>
      <c r="C866" s="62"/>
      <c r="D866" s="62"/>
      <c r="E866" s="74"/>
      <c r="F866" s="62"/>
      <c r="G866" s="74"/>
      <c r="H866" s="75"/>
    </row>
    <row r="867" spans="1:8" ht="12.5" x14ac:dyDescent="0.25">
      <c r="A867" s="62"/>
      <c r="B867" s="62"/>
      <c r="C867" s="62"/>
      <c r="D867" s="62"/>
      <c r="E867" s="74"/>
      <c r="F867" s="62"/>
      <c r="G867" s="74"/>
      <c r="H867" s="75"/>
    </row>
    <row r="868" spans="1:8" ht="12.5" x14ac:dyDescent="0.25">
      <c r="A868" s="62"/>
      <c r="B868" s="62"/>
      <c r="C868" s="62"/>
      <c r="D868" s="62"/>
      <c r="E868" s="74"/>
      <c r="F868" s="62"/>
      <c r="G868" s="74"/>
      <c r="H868" s="75"/>
    </row>
    <row r="869" spans="1:8" ht="12.5" x14ac:dyDescent="0.25">
      <c r="A869" s="62"/>
      <c r="B869" s="62"/>
      <c r="C869" s="62"/>
      <c r="D869" s="62"/>
      <c r="E869" s="74"/>
      <c r="F869" s="62"/>
      <c r="G869" s="74"/>
      <c r="H869" s="75"/>
    </row>
    <row r="870" spans="1:8" ht="12.5" x14ac:dyDescent="0.25">
      <c r="A870" s="62"/>
      <c r="B870" s="62"/>
      <c r="C870" s="62"/>
      <c r="D870" s="62"/>
      <c r="E870" s="74"/>
      <c r="F870" s="62"/>
      <c r="G870" s="74"/>
      <c r="H870" s="75"/>
    </row>
    <row r="871" spans="1:8" ht="12.5" x14ac:dyDescent="0.25">
      <c r="A871" s="62"/>
      <c r="B871" s="62"/>
      <c r="C871" s="62"/>
      <c r="D871" s="62"/>
      <c r="E871" s="74"/>
      <c r="F871" s="62"/>
      <c r="G871" s="74"/>
      <c r="H871" s="75"/>
    </row>
    <row r="872" spans="1:8" ht="12.5" x14ac:dyDescent="0.25">
      <c r="A872" s="62"/>
      <c r="B872" s="62"/>
      <c r="C872" s="62"/>
      <c r="D872" s="62"/>
      <c r="E872" s="74"/>
      <c r="F872" s="62"/>
      <c r="G872" s="74"/>
      <c r="H872" s="75"/>
    </row>
    <row r="873" spans="1:8" ht="12.5" x14ac:dyDescent="0.25">
      <c r="A873" s="62"/>
      <c r="B873" s="62"/>
      <c r="C873" s="62"/>
      <c r="D873" s="62"/>
      <c r="E873" s="74"/>
      <c r="F873" s="62"/>
      <c r="G873" s="74"/>
      <c r="H873" s="75"/>
    </row>
    <row r="874" spans="1:8" ht="12.5" x14ac:dyDescent="0.25">
      <c r="A874" s="62"/>
      <c r="B874" s="62"/>
      <c r="C874" s="62"/>
      <c r="D874" s="62"/>
      <c r="E874" s="74"/>
      <c r="F874" s="62"/>
      <c r="G874" s="74"/>
      <c r="H874" s="75"/>
    </row>
    <row r="875" spans="1:8" ht="12.5" x14ac:dyDescent="0.25">
      <c r="A875" s="62"/>
      <c r="B875" s="62"/>
      <c r="C875" s="62"/>
      <c r="D875" s="62"/>
      <c r="E875" s="74"/>
      <c r="F875" s="62"/>
      <c r="G875" s="74"/>
      <c r="H875" s="75"/>
    </row>
    <row r="876" spans="1:8" ht="12.5" x14ac:dyDescent="0.25">
      <c r="A876" s="62"/>
      <c r="B876" s="62"/>
      <c r="C876" s="62"/>
      <c r="D876" s="62"/>
      <c r="E876" s="74"/>
      <c r="F876" s="62"/>
      <c r="G876" s="74"/>
      <c r="H876" s="75"/>
    </row>
    <row r="877" spans="1:8" ht="12.5" x14ac:dyDescent="0.25">
      <c r="A877" s="62"/>
      <c r="B877" s="62"/>
      <c r="C877" s="62"/>
      <c r="D877" s="62"/>
      <c r="E877" s="74"/>
      <c r="F877" s="62"/>
      <c r="G877" s="74"/>
      <c r="H877" s="75"/>
    </row>
    <row r="878" spans="1:8" ht="12.5" x14ac:dyDescent="0.25">
      <c r="A878" s="62"/>
      <c r="B878" s="62"/>
      <c r="C878" s="62"/>
      <c r="D878" s="62"/>
      <c r="E878" s="74"/>
      <c r="F878" s="62"/>
      <c r="G878" s="74"/>
      <c r="H878" s="75"/>
    </row>
    <row r="879" spans="1:8" ht="12.5" x14ac:dyDescent="0.25">
      <c r="A879" s="62"/>
      <c r="B879" s="62"/>
      <c r="C879" s="62"/>
      <c r="D879" s="62"/>
      <c r="E879" s="74"/>
      <c r="F879" s="62"/>
      <c r="G879" s="74"/>
      <c r="H879" s="75"/>
    </row>
    <row r="880" spans="1:8" ht="12.5" x14ac:dyDescent="0.25">
      <c r="A880" s="62"/>
      <c r="B880" s="62"/>
      <c r="C880" s="62"/>
      <c r="D880" s="62"/>
      <c r="E880" s="74"/>
      <c r="F880" s="62"/>
      <c r="G880" s="74"/>
      <c r="H880" s="75"/>
    </row>
    <row r="881" spans="1:8" ht="12.5" x14ac:dyDescent="0.25">
      <c r="A881" s="62"/>
      <c r="B881" s="62"/>
      <c r="C881" s="62"/>
      <c r="D881" s="62"/>
      <c r="E881" s="74"/>
      <c r="F881" s="62"/>
      <c r="G881" s="74"/>
      <c r="H881" s="75"/>
    </row>
    <row r="882" spans="1:8" ht="12.5" x14ac:dyDescent="0.25">
      <c r="A882" s="62"/>
      <c r="B882" s="62"/>
      <c r="C882" s="62"/>
      <c r="D882" s="62"/>
      <c r="E882" s="74"/>
      <c r="F882" s="62"/>
      <c r="G882" s="74"/>
      <c r="H882" s="75"/>
    </row>
    <row r="883" spans="1:8" ht="12.5" x14ac:dyDescent="0.25">
      <c r="A883" s="62"/>
      <c r="B883" s="62"/>
      <c r="C883" s="62"/>
      <c r="D883" s="62"/>
      <c r="E883" s="74"/>
      <c r="F883" s="62"/>
      <c r="G883" s="74"/>
      <c r="H883" s="75"/>
    </row>
    <row r="884" spans="1:8" ht="12.5" x14ac:dyDescent="0.25">
      <c r="A884" s="62"/>
      <c r="B884" s="62"/>
      <c r="C884" s="62"/>
      <c r="D884" s="62"/>
      <c r="E884" s="74"/>
      <c r="F884" s="62"/>
      <c r="G884" s="74"/>
      <c r="H884" s="75"/>
    </row>
    <row r="885" spans="1:8" ht="12.5" x14ac:dyDescent="0.25">
      <c r="A885" s="62"/>
      <c r="B885" s="62"/>
      <c r="C885" s="62"/>
      <c r="D885" s="62"/>
      <c r="E885" s="74"/>
      <c r="F885" s="62"/>
      <c r="G885" s="74"/>
      <c r="H885" s="75"/>
    </row>
    <row r="886" spans="1:8" ht="12.5" x14ac:dyDescent="0.25">
      <c r="A886" s="62"/>
      <c r="B886" s="62"/>
      <c r="C886" s="62"/>
      <c r="D886" s="62"/>
      <c r="E886" s="74"/>
      <c r="F886" s="62"/>
      <c r="G886" s="74"/>
      <c r="H886" s="75"/>
    </row>
    <row r="887" spans="1:8" ht="12.5" x14ac:dyDescent="0.25">
      <c r="A887" s="62"/>
      <c r="B887" s="62"/>
      <c r="C887" s="62"/>
      <c r="D887" s="62"/>
      <c r="E887" s="74"/>
      <c r="F887" s="62"/>
      <c r="G887" s="74"/>
      <c r="H887" s="75"/>
    </row>
    <row r="888" spans="1:8" ht="12.5" x14ac:dyDescent="0.25">
      <c r="A888" s="62"/>
      <c r="B888" s="62"/>
      <c r="C888" s="62"/>
      <c r="D888" s="62"/>
      <c r="E888" s="74"/>
      <c r="F888" s="62"/>
      <c r="G888" s="74"/>
      <c r="H888" s="75"/>
    </row>
    <row r="889" spans="1:8" ht="12.5" x14ac:dyDescent="0.25">
      <c r="A889" s="62"/>
      <c r="B889" s="62"/>
      <c r="C889" s="62"/>
      <c r="D889" s="62"/>
      <c r="E889" s="74"/>
      <c r="F889" s="62"/>
      <c r="G889" s="74"/>
      <c r="H889" s="75"/>
    </row>
    <row r="890" spans="1:8" ht="12.5" x14ac:dyDescent="0.25">
      <c r="A890" s="62"/>
      <c r="B890" s="62"/>
      <c r="C890" s="62"/>
      <c r="D890" s="62"/>
      <c r="E890" s="74"/>
      <c r="F890" s="62"/>
      <c r="G890" s="74"/>
      <c r="H890" s="75"/>
    </row>
    <row r="891" spans="1:8" ht="12.5" x14ac:dyDescent="0.25">
      <c r="A891" s="62"/>
      <c r="B891" s="62"/>
      <c r="C891" s="62"/>
      <c r="D891" s="62"/>
      <c r="E891" s="74"/>
      <c r="F891" s="62"/>
      <c r="G891" s="74"/>
      <c r="H891" s="75"/>
    </row>
    <row r="892" spans="1:8" ht="12.5" x14ac:dyDescent="0.25">
      <c r="A892" s="62"/>
      <c r="B892" s="62"/>
      <c r="C892" s="62"/>
      <c r="D892" s="62"/>
      <c r="E892" s="74"/>
      <c r="F892" s="62"/>
      <c r="G892" s="74"/>
      <c r="H892" s="75"/>
    </row>
    <row r="893" spans="1:8" ht="12.5" x14ac:dyDescent="0.25">
      <c r="A893" s="62"/>
      <c r="B893" s="62"/>
      <c r="C893" s="62"/>
      <c r="D893" s="62"/>
      <c r="E893" s="74"/>
      <c r="F893" s="62"/>
      <c r="G893" s="74"/>
      <c r="H893" s="75"/>
    </row>
    <row r="894" spans="1:8" ht="12.5" x14ac:dyDescent="0.25">
      <c r="A894" s="62"/>
      <c r="B894" s="62"/>
      <c r="C894" s="62"/>
      <c r="D894" s="62"/>
      <c r="E894" s="74"/>
      <c r="F894" s="62"/>
      <c r="G894" s="74"/>
      <c r="H894" s="75"/>
    </row>
    <row r="895" spans="1:8" ht="12.5" x14ac:dyDescent="0.25">
      <c r="A895" s="62"/>
      <c r="B895" s="62"/>
      <c r="C895" s="62"/>
      <c r="D895" s="62"/>
      <c r="E895" s="74"/>
      <c r="F895" s="62"/>
      <c r="G895" s="74"/>
      <c r="H895" s="75"/>
    </row>
    <row r="896" spans="1:8" ht="12.5" x14ac:dyDescent="0.25">
      <c r="A896" s="62"/>
      <c r="B896" s="62"/>
      <c r="C896" s="62"/>
      <c r="D896" s="62"/>
      <c r="E896" s="74"/>
      <c r="F896" s="62"/>
      <c r="G896" s="74"/>
      <c r="H896" s="75"/>
    </row>
    <row r="897" spans="1:8" ht="12.5" x14ac:dyDescent="0.25">
      <c r="A897" s="62"/>
      <c r="B897" s="62"/>
      <c r="C897" s="62"/>
      <c r="D897" s="62"/>
      <c r="E897" s="74"/>
      <c r="F897" s="62"/>
      <c r="G897" s="74"/>
      <c r="H897" s="75"/>
    </row>
    <row r="898" spans="1:8" ht="12.5" x14ac:dyDescent="0.25">
      <c r="A898" s="62"/>
      <c r="B898" s="62"/>
      <c r="C898" s="62"/>
      <c r="D898" s="62"/>
      <c r="E898" s="74"/>
      <c r="F898" s="62"/>
      <c r="G898" s="74"/>
      <c r="H898" s="75"/>
    </row>
    <row r="899" spans="1:8" ht="12.5" x14ac:dyDescent="0.25">
      <c r="A899" s="62"/>
      <c r="B899" s="62"/>
      <c r="C899" s="62"/>
      <c r="D899" s="62"/>
      <c r="E899" s="74"/>
      <c r="F899" s="62"/>
      <c r="G899" s="74"/>
      <c r="H899" s="75"/>
    </row>
    <row r="900" spans="1:8" ht="12.5" x14ac:dyDescent="0.25">
      <c r="A900" s="62"/>
      <c r="B900" s="62"/>
      <c r="C900" s="62"/>
      <c r="D900" s="62"/>
      <c r="E900" s="74"/>
      <c r="F900" s="62"/>
      <c r="G900" s="74"/>
      <c r="H900" s="75"/>
    </row>
    <row r="901" spans="1:8" ht="12.5" x14ac:dyDescent="0.25">
      <c r="A901" s="62"/>
      <c r="B901" s="62"/>
      <c r="C901" s="62"/>
      <c r="D901" s="62"/>
      <c r="E901" s="74"/>
      <c r="F901" s="62"/>
      <c r="G901" s="74"/>
      <c r="H901" s="75"/>
    </row>
    <row r="902" spans="1:8" ht="12.5" x14ac:dyDescent="0.25">
      <c r="A902" s="62"/>
      <c r="B902" s="62"/>
      <c r="C902" s="62"/>
      <c r="D902" s="62"/>
      <c r="E902" s="74"/>
      <c r="F902" s="62"/>
      <c r="G902" s="74"/>
      <c r="H902" s="75"/>
    </row>
    <row r="903" spans="1:8" ht="12.5" x14ac:dyDescent="0.25">
      <c r="A903" s="62"/>
      <c r="B903" s="62"/>
      <c r="C903" s="62"/>
      <c r="D903" s="62"/>
      <c r="E903" s="74"/>
      <c r="F903" s="62"/>
      <c r="G903" s="74"/>
      <c r="H903" s="75"/>
    </row>
    <row r="904" spans="1:8" ht="12.5" x14ac:dyDescent="0.25">
      <c r="A904" s="62"/>
      <c r="B904" s="62"/>
      <c r="C904" s="62"/>
      <c r="D904" s="62"/>
      <c r="E904" s="74"/>
      <c r="F904" s="62"/>
      <c r="G904" s="74"/>
      <c r="H904" s="75"/>
    </row>
    <row r="905" spans="1:8" ht="12.5" x14ac:dyDescent="0.25">
      <c r="A905" s="62"/>
      <c r="B905" s="62"/>
      <c r="C905" s="62"/>
      <c r="D905" s="62"/>
      <c r="E905" s="74"/>
      <c r="F905" s="62"/>
      <c r="G905" s="74"/>
      <c r="H905" s="75"/>
    </row>
    <row r="906" spans="1:8" ht="12.5" x14ac:dyDescent="0.25">
      <c r="A906" s="62"/>
      <c r="B906" s="62"/>
      <c r="C906" s="62"/>
      <c r="D906" s="62"/>
      <c r="E906" s="74"/>
      <c r="F906" s="62"/>
      <c r="G906" s="74"/>
      <c r="H906" s="75"/>
    </row>
    <row r="907" spans="1:8" ht="12.5" x14ac:dyDescent="0.25">
      <c r="A907" s="62"/>
      <c r="B907" s="62"/>
      <c r="C907" s="62"/>
      <c r="D907" s="62"/>
      <c r="E907" s="74"/>
      <c r="F907" s="62"/>
      <c r="G907" s="74"/>
      <c r="H907" s="75"/>
    </row>
    <row r="908" spans="1:8" ht="12.5" x14ac:dyDescent="0.25">
      <c r="A908" s="62"/>
      <c r="B908" s="62"/>
      <c r="C908" s="62"/>
      <c r="D908" s="62"/>
      <c r="E908" s="74"/>
      <c r="F908" s="62"/>
      <c r="G908" s="74"/>
      <c r="H908" s="75"/>
    </row>
    <row r="909" spans="1:8" ht="12.5" x14ac:dyDescent="0.25">
      <c r="A909" s="62"/>
      <c r="B909" s="62"/>
      <c r="C909" s="62"/>
      <c r="D909" s="62"/>
      <c r="E909" s="74"/>
      <c r="F909" s="62"/>
      <c r="G909" s="74"/>
      <c r="H909" s="75"/>
    </row>
    <row r="910" spans="1:8" ht="12.5" x14ac:dyDescent="0.25">
      <c r="A910" s="62"/>
      <c r="B910" s="62"/>
      <c r="C910" s="62"/>
      <c r="D910" s="62"/>
      <c r="E910" s="74"/>
      <c r="F910" s="62"/>
      <c r="G910" s="74"/>
      <c r="H910" s="75"/>
    </row>
    <row r="911" spans="1:8" ht="12.5" x14ac:dyDescent="0.25">
      <c r="A911" s="62"/>
      <c r="B911" s="62"/>
      <c r="C911" s="62"/>
      <c r="D911" s="62"/>
      <c r="E911" s="74"/>
      <c r="F911" s="62"/>
      <c r="G911" s="74"/>
      <c r="H911" s="75"/>
    </row>
    <row r="912" spans="1:8" ht="12.5" x14ac:dyDescent="0.25">
      <c r="A912" s="62"/>
      <c r="B912" s="62"/>
      <c r="C912" s="62"/>
      <c r="D912" s="62"/>
      <c r="E912" s="74"/>
      <c r="F912" s="62"/>
      <c r="G912" s="74"/>
      <c r="H912" s="75"/>
    </row>
    <row r="913" spans="1:8" ht="12.5" x14ac:dyDescent="0.25">
      <c r="A913" s="62"/>
      <c r="B913" s="62"/>
      <c r="C913" s="62"/>
      <c r="D913" s="62"/>
      <c r="E913" s="74"/>
      <c r="F913" s="62"/>
      <c r="G913" s="74"/>
      <c r="H913" s="75"/>
    </row>
    <row r="914" spans="1:8" ht="12.5" x14ac:dyDescent="0.25">
      <c r="A914" s="62"/>
      <c r="B914" s="62"/>
      <c r="C914" s="62"/>
      <c r="D914" s="62"/>
      <c r="E914" s="74"/>
      <c r="F914" s="62"/>
      <c r="G914" s="74"/>
      <c r="H914" s="75"/>
    </row>
    <row r="915" spans="1:8" ht="12.5" x14ac:dyDescent="0.25">
      <c r="A915" s="62"/>
      <c r="B915" s="62"/>
      <c r="C915" s="62"/>
      <c r="D915" s="62"/>
      <c r="E915" s="74"/>
      <c r="F915" s="62"/>
      <c r="G915" s="74"/>
      <c r="H915" s="75"/>
    </row>
    <row r="916" spans="1:8" ht="12.5" x14ac:dyDescent="0.25">
      <c r="A916" s="62"/>
      <c r="B916" s="62"/>
      <c r="C916" s="62"/>
      <c r="D916" s="62"/>
      <c r="E916" s="74"/>
      <c r="F916" s="62"/>
      <c r="G916" s="74"/>
      <c r="H916" s="75"/>
    </row>
    <row r="917" spans="1:8" ht="12.5" x14ac:dyDescent="0.25">
      <c r="A917" s="62"/>
      <c r="B917" s="62"/>
      <c r="C917" s="62"/>
      <c r="D917" s="62"/>
      <c r="E917" s="74"/>
      <c r="F917" s="62"/>
      <c r="G917" s="74"/>
      <c r="H917" s="75"/>
    </row>
    <row r="918" spans="1:8" ht="12.5" x14ac:dyDescent="0.25">
      <c r="A918" s="62"/>
      <c r="B918" s="62"/>
      <c r="C918" s="62"/>
      <c r="D918" s="62"/>
      <c r="E918" s="74"/>
      <c r="F918" s="62"/>
      <c r="G918" s="74"/>
      <c r="H918" s="75"/>
    </row>
    <row r="919" spans="1:8" ht="12.5" x14ac:dyDescent="0.25">
      <c r="A919" s="62"/>
      <c r="B919" s="62"/>
      <c r="C919" s="62"/>
      <c r="D919" s="62"/>
      <c r="E919" s="74"/>
      <c r="F919" s="62"/>
      <c r="G919" s="74"/>
      <c r="H919" s="75"/>
    </row>
    <row r="920" spans="1:8" ht="12.5" x14ac:dyDescent="0.25">
      <c r="A920" s="62"/>
      <c r="B920" s="62"/>
      <c r="C920" s="62"/>
      <c r="D920" s="62"/>
      <c r="E920" s="74"/>
      <c r="F920" s="62"/>
      <c r="G920" s="74"/>
      <c r="H920" s="75"/>
    </row>
    <row r="921" spans="1:8" ht="12.5" x14ac:dyDescent="0.25">
      <c r="A921" s="62"/>
      <c r="B921" s="62"/>
      <c r="C921" s="62"/>
      <c r="D921" s="62"/>
      <c r="E921" s="74"/>
      <c r="F921" s="62"/>
      <c r="G921" s="74"/>
      <c r="H921" s="75"/>
    </row>
    <row r="922" spans="1:8" ht="12.5" x14ac:dyDescent="0.25">
      <c r="A922" s="62"/>
      <c r="B922" s="62"/>
      <c r="C922" s="62"/>
      <c r="D922" s="62"/>
      <c r="E922" s="74"/>
      <c r="F922" s="62"/>
      <c r="G922" s="74"/>
      <c r="H922" s="75"/>
    </row>
    <row r="923" spans="1:8" ht="12.5" x14ac:dyDescent="0.25">
      <c r="A923" s="62"/>
      <c r="B923" s="62"/>
      <c r="C923" s="62"/>
      <c r="D923" s="62"/>
      <c r="E923" s="74"/>
      <c r="F923" s="62"/>
      <c r="G923" s="74"/>
      <c r="H923" s="75"/>
    </row>
    <row r="924" spans="1:8" ht="12.5" x14ac:dyDescent="0.25">
      <c r="A924" s="62"/>
      <c r="B924" s="62"/>
      <c r="C924" s="62"/>
      <c r="D924" s="62"/>
      <c r="E924" s="74"/>
      <c r="F924" s="62"/>
      <c r="G924" s="74"/>
      <c r="H924" s="75"/>
    </row>
    <row r="925" spans="1:8" ht="12.5" x14ac:dyDescent="0.25">
      <c r="A925" s="62"/>
      <c r="B925" s="62"/>
      <c r="C925" s="62"/>
      <c r="D925" s="62"/>
      <c r="E925" s="74"/>
      <c r="F925" s="62"/>
      <c r="G925" s="74"/>
      <c r="H925" s="75"/>
    </row>
    <row r="926" spans="1:8" ht="12.5" x14ac:dyDescent="0.25">
      <c r="A926" s="62"/>
      <c r="B926" s="62"/>
      <c r="C926" s="62"/>
      <c r="D926" s="62"/>
      <c r="E926" s="74"/>
      <c r="F926" s="62"/>
      <c r="G926" s="74"/>
      <c r="H926" s="75"/>
    </row>
    <row r="927" spans="1:8" ht="12.5" x14ac:dyDescent="0.25">
      <c r="A927" s="62"/>
      <c r="B927" s="62"/>
      <c r="C927" s="62"/>
      <c r="D927" s="62"/>
      <c r="E927" s="74"/>
      <c r="F927" s="62"/>
      <c r="G927" s="74"/>
      <c r="H927" s="75"/>
    </row>
    <row r="928" spans="1:8" ht="12.5" x14ac:dyDescent="0.25">
      <c r="A928" s="62"/>
      <c r="B928" s="62"/>
      <c r="C928" s="62"/>
      <c r="D928" s="62"/>
      <c r="E928" s="74"/>
      <c r="F928" s="62"/>
      <c r="G928" s="74"/>
      <c r="H928" s="75"/>
    </row>
    <row r="929" spans="1:8" ht="12.5" x14ac:dyDescent="0.25">
      <c r="A929" s="62"/>
      <c r="B929" s="62"/>
      <c r="C929" s="62"/>
      <c r="D929" s="62"/>
      <c r="E929" s="74"/>
      <c r="F929" s="62"/>
      <c r="G929" s="74"/>
      <c r="H929" s="75"/>
    </row>
    <row r="930" spans="1:8" ht="12.5" x14ac:dyDescent="0.25">
      <c r="A930" s="62"/>
      <c r="B930" s="62"/>
      <c r="C930" s="62"/>
      <c r="D930" s="62"/>
      <c r="E930" s="74"/>
      <c r="F930" s="62"/>
      <c r="G930" s="74"/>
      <c r="H930" s="75"/>
    </row>
    <row r="931" spans="1:8" ht="12.5" x14ac:dyDescent="0.25">
      <c r="A931" s="62"/>
      <c r="B931" s="62"/>
      <c r="C931" s="62"/>
      <c r="D931" s="62"/>
      <c r="E931" s="74"/>
      <c r="F931" s="62"/>
      <c r="G931" s="74"/>
      <c r="H931" s="75"/>
    </row>
    <row r="932" spans="1:8" ht="12.5" x14ac:dyDescent="0.25">
      <c r="A932" s="62"/>
      <c r="B932" s="62"/>
      <c r="C932" s="62"/>
      <c r="D932" s="62"/>
      <c r="E932" s="74"/>
      <c r="F932" s="62"/>
      <c r="G932" s="74"/>
      <c r="H932" s="75"/>
    </row>
    <row r="933" spans="1:8" ht="12.5" x14ac:dyDescent="0.25">
      <c r="A933" s="62"/>
      <c r="B933" s="62"/>
      <c r="C933" s="62"/>
      <c r="D933" s="62"/>
      <c r="E933" s="74"/>
      <c r="F933" s="62"/>
      <c r="G933" s="74"/>
      <c r="H933" s="75"/>
    </row>
    <row r="934" spans="1:8" ht="12.5" x14ac:dyDescent="0.25">
      <c r="A934" s="62"/>
      <c r="B934" s="62"/>
      <c r="C934" s="62"/>
      <c r="D934" s="62"/>
      <c r="E934" s="74"/>
      <c r="F934" s="62"/>
      <c r="G934" s="74"/>
      <c r="H934" s="75"/>
    </row>
    <row r="935" spans="1:8" ht="12.5" x14ac:dyDescent="0.25">
      <c r="A935" s="62"/>
      <c r="B935" s="62"/>
      <c r="C935" s="62"/>
      <c r="D935" s="62"/>
      <c r="E935" s="74"/>
      <c r="F935" s="62"/>
      <c r="G935" s="74"/>
      <c r="H935" s="75"/>
    </row>
    <row r="936" spans="1:8" ht="12.5" x14ac:dyDescent="0.25">
      <c r="A936" s="62"/>
      <c r="B936" s="62"/>
      <c r="C936" s="62"/>
      <c r="D936" s="62"/>
      <c r="E936" s="74"/>
      <c r="F936" s="62"/>
      <c r="G936" s="74"/>
      <c r="H936" s="75"/>
    </row>
    <row r="937" spans="1:8" ht="12.5" x14ac:dyDescent="0.25">
      <c r="A937" s="62"/>
      <c r="B937" s="62"/>
      <c r="C937" s="62"/>
      <c r="D937" s="62"/>
      <c r="E937" s="74"/>
      <c r="F937" s="62"/>
      <c r="G937" s="74"/>
      <c r="H937" s="75"/>
    </row>
    <row r="938" spans="1:8" ht="12.5" x14ac:dyDescent="0.25">
      <c r="A938" s="62"/>
      <c r="B938" s="62"/>
      <c r="C938" s="62"/>
      <c r="D938" s="62"/>
      <c r="E938" s="74"/>
      <c r="F938" s="62"/>
      <c r="G938" s="74"/>
      <c r="H938" s="75"/>
    </row>
    <row r="939" spans="1:8" ht="12.5" x14ac:dyDescent="0.25">
      <c r="A939" s="62"/>
      <c r="B939" s="62"/>
      <c r="C939" s="62"/>
      <c r="D939" s="62"/>
      <c r="E939" s="74"/>
      <c r="F939" s="62"/>
      <c r="G939" s="74"/>
      <c r="H939" s="75"/>
    </row>
    <row r="940" spans="1:8" ht="12.5" x14ac:dyDescent="0.25">
      <c r="A940" s="62"/>
      <c r="B940" s="62"/>
      <c r="C940" s="62"/>
      <c r="D940" s="62"/>
      <c r="E940" s="74"/>
      <c r="F940" s="62"/>
      <c r="G940" s="74"/>
      <c r="H940" s="75"/>
    </row>
    <row r="941" spans="1:8" ht="12.5" x14ac:dyDescent="0.25">
      <c r="A941" s="62"/>
      <c r="B941" s="62"/>
      <c r="C941" s="62"/>
      <c r="D941" s="62"/>
      <c r="E941" s="74"/>
      <c r="F941" s="62"/>
      <c r="G941" s="74"/>
      <c r="H941" s="75"/>
    </row>
    <row r="942" spans="1:8" ht="12.5" x14ac:dyDescent="0.25">
      <c r="A942" s="62"/>
      <c r="B942" s="62"/>
      <c r="C942" s="62"/>
      <c r="D942" s="62"/>
      <c r="E942" s="74"/>
      <c r="F942" s="62"/>
      <c r="G942" s="74"/>
      <c r="H942" s="75"/>
    </row>
    <row r="943" spans="1:8" ht="12.5" x14ac:dyDescent="0.25">
      <c r="A943" s="62"/>
      <c r="B943" s="62"/>
      <c r="C943" s="62"/>
      <c r="D943" s="62"/>
      <c r="E943" s="74"/>
      <c r="F943" s="62"/>
      <c r="G943" s="74"/>
      <c r="H943" s="75"/>
    </row>
    <row r="944" spans="1:8" ht="12.5" x14ac:dyDescent="0.25">
      <c r="A944" s="62"/>
      <c r="B944" s="62"/>
      <c r="C944" s="62"/>
      <c r="D944" s="62"/>
      <c r="E944" s="74"/>
      <c r="F944" s="62"/>
      <c r="G944" s="74"/>
      <c r="H944" s="75"/>
    </row>
  </sheetData>
  <customSheetViews>
    <customSheetView guid="{249554D9-C1E6-4A20-9F45-024A9E739C37}" filter="1" showAutoFilter="1">
      <pageMargins left="0.7" right="0.7" top="0.75" bottom="0.75" header="0.3" footer="0.3"/>
      <autoFilter ref="A4:M75" xr:uid="{00000000-0000-0000-0000-000000000000}">
        <sortState xmlns:xlrd2="http://schemas.microsoft.com/office/spreadsheetml/2017/richdata2" ref="A4:M75">
          <sortCondition descending="1" ref="B4:B75"/>
        </sortState>
      </autoFilter>
    </customSheetView>
  </customSheetViews>
  <dataValidations count="3">
    <dataValidation type="list" allowBlank="1" sqref="E3 E12" xr:uid="{00000000-0002-0000-0000-000001000000}">
      <formula1>"Current Customers,Affected Institutions,Selected Countries,None (Requires Signup),None (Open Access)"</formula1>
    </dataValidation>
    <dataValidation type="list" allowBlank="1" sqref="E5:E11 E1 E13:E43" xr:uid="{00000000-0002-0000-0000-000002000000}">
      <formula1>"Current Customers,Selected Countries,Affected Institutions,None (Requires Signup),None (Open Access)"</formula1>
    </dataValidation>
    <dataValidation type="list" allowBlank="1" sqref="B1 B3:B43" xr:uid="{00000000-0002-0000-0000-000000000000}">
      <formula1>"General Content,COVID19 Research,Courseware,[In Process]"</formula1>
    </dataValidation>
  </dataValidations>
  <hyperlinks>
    <hyperlink ref="D7" r:id="rId1" xr:uid="{00000000-0004-0000-0000-000000000000}"/>
    <hyperlink ref="D4" r:id="rId2" xr:uid="{00000000-0004-0000-0000-000002000000}"/>
    <hyperlink ref="D11" r:id="rId3" xr:uid="{00000000-0004-0000-0000-000003000000}"/>
    <hyperlink ref="D27" r:id="rId4" xr:uid="{00000000-0004-0000-0000-000004000000}"/>
    <hyperlink ref="D18" r:id="rId5" xr:uid="{08080A0B-DDEA-499E-9A29-72444D0ACC09}"/>
    <hyperlink ref="D17" r:id="rId6" xr:uid="{105928FD-82B9-4212-82B8-E4F572A19259}"/>
  </hyperlinks>
  <pageMargins left="0.7" right="0.7" top="0.75" bottom="0.75" header="0.3" footer="0.3"/>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pane ySplit="4" topLeftCell="A5" activePane="bottomLeft" state="frozen"/>
      <selection pane="bottomLeft" activeCell="B6" sqref="B6"/>
    </sheetView>
  </sheetViews>
  <sheetFormatPr defaultColWidth="14.453125" defaultRowHeight="15.75" customHeight="1" x14ac:dyDescent="0.25"/>
  <cols>
    <col min="1" max="1" width="30" customWidth="1"/>
    <col min="2" max="2" width="99.54296875" customWidth="1"/>
    <col min="3" max="3" width="23.54296875" customWidth="1"/>
    <col min="4" max="6" width="18.453125" customWidth="1"/>
  </cols>
  <sheetData>
    <row r="1" spans="1:7" x14ac:dyDescent="0.3">
      <c r="A1" s="1" t="str">
        <f ca="1">IFERROR(__xludf.DUMMYFUNCTION("IMPORTRANGE(""https://docs.google.com/spreadsheets/d/12ftGRLhIoT2-HGLrLkH5KjMiSUFdwy7XaUi0kX6ifUI"",""sheet1!B4:G104"")"),"LIBRARIANS: Review the specifics of the Complimentary Expanded Access offered by the Providers on this page")</f>
        <v>LIBRARIANS: Review the specifics of the Complimentary Expanded Access offered by the Providers on this page</v>
      </c>
      <c r="B1" s="2" t="str">
        <f ca="1">IFERROR(__xludf.DUMMYFUNCTION("""COMPUTED_VALUE"""),"")</f>
        <v/>
      </c>
      <c r="C1" s="3" t="str">
        <f ca="1">IFERROR(__xludf.DUMMYFUNCTION("""COMPUTED_VALUE"""),"")</f>
        <v/>
      </c>
      <c r="D1" s="4" t="str">
        <f ca="1">IFERROR(__xludf.DUMMYFUNCTION("""COMPUTED_VALUE"""),"")</f>
        <v/>
      </c>
      <c r="E1" s="4" t="str">
        <f ca="1">IFERROR(__xludf.DUMMYFUNCTION("""COMPUTED_VALUE"""),"")</f>
        <v/>
      </c>
      <c r="F1" s="5" t="str">
        <f ca="1">IFERROR(__xludf.DUMMYFUNCTION("""COMPUTED_VALUE"""),"")</f>
        <v/>
      </c>
      <c r="G1" s="6" t="str">
        <f>HYPERLINK("https://docs.google.com/spreadsheets/d/1pFSA-yEDixl5ZKtQmEUOuW_vdDFLdzDbhjP5Cjrkajo/edit#gid=0","LINK TO ICOLC SOURCE PAGE")</f>
        <v>LINK TO ICOLC SOURCE PAGE</v>
      </c>
    </row>
    <row r="2" spans="1:7" ht="15.75" customHeight="1" x14ac:dyDescent="0.25">
      <c r="A2" s="1" t="str">
        <f ca="1">IFERROR(__xludf.DUMMYFUNCTION("""COMPUTED_VALUE"""),"Consortia, Librarians or Providers: Submit a description of Complimentary Expanded Access for inclusion on this page")</f>
        <v>Consortia, Librarians or Providers: Submit a description of Complimentary Expanded Access for inclusion on this page</v>
      </c>
      <c r="B2" s="2" t="str">
        <f ca="1">IFERROR(__xludf.DUMMYFUNCTION("""COMPUTED_VALUE"""),"")</f>
        <v/>
      </c>
      <c r="C2" s="3" t="str">
        <f ca="1">IFERROR(__xludf.DUMMYFUNCTION("""COMPUTED_VALUE"""),"")</f>
        <v/>
      </c>
      <c r="D2" s="4" t="str">
        <f ca="1">IFERROR(__xludf.DUMMYFUNCTION("""COMPUTED_VALUE"""),"")</f>
        <v/>
      </c>
      <c r="E2" s="4" t="str">
        <f ca="1">IFERROR(__xludf.DUMMYFUNCTION("""COMPUTED_VALUE"""),"")</f>
        <v/>
      </c>
      <c r="F2" s="5" t="str">
        <f ca="1">IFERROR(__xludf.DUMMYFUNCTION("""COMPUTED_VALUE"""),"")</f>
        <v/>
      </c>
    </row>
    <row r="3" spans="1:7" ht="15.75" customHeight="1" x14ac:dyDescent="0.25">
      <c r="A3" s="1" t="str">
        <f ca="1">IFERROR(__xludf.DUMMYFUNCTION("""COMPUTED_VALUE"""),"If you are viewing the google sheets *Public View* version and can't copy cells/sort, signing in with any google account should fix that (in Google Chrome, at least). If you are viewing the html version (where the top row scrolls off the screen), you MAY "&amp;"be able to access the Google Sheets version via this link.")</f>
        <v>If you are viewing the google sheets *Public View* version and can't copy cells/sort, signing in with any google account should fix that (in Google Chrome, at least). If you are viewing the html version (where the top row scrolls off the screen), you MAY be able to access the Google Sheets version via this link.</v>
      </c>
      <c r="B3" s="2" t="str">
        <f ca="1">IFERROR(__xludf.DUMMYFUNCTION("""COMPUTED_VALUE"""),"")</f>
        <v/>
      </c>
      <c r="C3" s="3" t="str">
        <f ca="1">IFERROR(__xludf.DUMMYFUNCTION("""COMPUTED_VALUE"""),"")</f>
        <v/>
      </c>
      <c r="D3" s="4" t="str">
        <f ca="1">IFERROR(__xludf.DUMMYFUNCTION("""COMPUTED_VALUE"""),"")</f>
        <v/>
      </c>
      <c r="E3" s="4" t="str">
        <f ca="1">IFERROR(__xludf.DUMMYFUNCTION("""COMPUTED_VALUE"""),"")</f>
        <v/>
      </c>
      <c r="F3" s="5" t="str">
        <f ca="1">IFERROR(__xludf.DUMMYFUNCTION("""COMPUTED_VALUE"""),"")</f>
        <v/>
      </c>
    </row>
    <row r="4" spans="1:7" ht="15.75" customHeight="1" x14ac:dyDescent="0.25">
      <c r="A4" s="4" t="str">
        <f ca="1">IFERROR(__xludf.DUMMYFUNCTION("""COMPUTED_VALUE"""),"Provider")</f>
        <v>Provider</v>
      </c>
      <c r="B4" s="2" t="str">
        <f ca="1">IFERROR(__xludf.DUMMYFUNCTION("""COMPUTED_VALUE"""),"Provider's Response to COVID-19 ")</f>
        <v xml:space="preserve">Provider's Response to COVID-19 </v>
      </c>
      <c r="C4" s="5" t="str">
        <f ca="1">IFERROR(__xludf.DUMMYFUNCTION("""COMPUTED_VALUE"""),"Added/Updated By")</f>
        <v>Added/Updated By</v>
      </c>
      <c r="D4" s="2" t="str">
        <f ca="1">IFERROR(__xludf.DUMMYFUNCTION("""COMPUTED_VALUE"""),"Date Added/Updated")</f>
        <v>Date Added/Updated</v>
      </c>
      <c r="E4" s="2" t="str">
        <f ca="1">IFERROR(__xludf.DUMMYFUNCTION("""COMPUTED_VALUE"""),"Expanded Access Specifics")</f>
        <v>Expanded Access Specifics</v>
      </c>
      <c r="F4" s="5" t="str">
        <f ca="1">IFERROR(__xludf.DUMMYFUNCTION("""COMPUTED_VALUE"""),"GDPR/Personal Data Privacy Policy")</f>
        <v>GDPR/Personal Data Privacy Policy</v>
      </c>
    </row>
    <row r="5" spans="1:7" ht="15.75" customHeight="1" x14ac:dyDescent="0.25">
      <c r="A5" s="4" t="str">
        <f ca="1">IFERROR(__xludf.DUMMYFUNCTION("""COMPUTED_VALUE"""),"Annual Reviews")</f>
        <v>Annual Reviews</v>
      </c>
      <c r="B5" s="2" t="str">
        <f ca="1">IFERROR(__xludf.DUMMYFUNCTION("""COMPUTED_VALUE"""),"Temporarily removing access control to content on Monday, March 13 https://annualreviewsnews.org/2020/03/13/annual-reviews-removes-access-control-in-response-to-covid-19-pandemic/")</f>
        <v>Temporarily removing access control to content on Monday, March 13 https://annualreviewsnews.org/2020/03/13/annual-reviews-removes-access-control-in-response-to-covid-19-pandemic/</v>
      </c>
      <c r="C5" s="3" t="str">
        <f ca="1">IFERROR(__xludf.DUMMYFUNCTION("""COMPUTED_VALUE"""),"Sharla Lair LYRASIS")</f>
        <v>Sharla Lair LYRASIS</v>
      </c>
      <c r="D5" s="7">
        <f ca="1">IFERROR(__xludf.DUMMYFUNCTION("""COMPUTED_VALUE"""),43903)</f>
        <v>43903</v>
      </c>
      <c r="E5" s="1" t="str">
        <f ca="1">IFERROR(__xludf.DUMMYFUNCTION("""COMPUTED_VALUE"""),"Lookup Specifics")</f>
        <v>Lookup Specifics</v>
      </c>
      <c r="F5" s="8" t="str">
        <f ca="1">IFERROR(__xludf.DUMMYFUNCTION("""COMPUTED_VALUE"""),"https://www.annualreviews.org/page/about/privacy")</f>
        <v>https://www.annualreviews.org/page/about/privacy</v>
      </c>
    </row>
    <row r="6" spans="1:7" ht="15.75" customHeight="1" x14ac:dyDescent="0.25">
      <c r="A6" s="4" t="str">
        <f ca="1">IFERROR(__xludf.DUMMYFUNCTION("""COMPUTED_VALUE"""),"JoVE")</f>
        <v>JoVE</v>
      </c>
      <c r="B6" s="2" t="str">
        <f ca="1">IFERROR(__xludf.DUMMYFUNCTION("""COMPUTED_VALUE"""),"Temporary free access of Science Education videos through June 15 for STEM teaching ")</f>
        <v xml:space="preserve">Temporary free access of Science Education videos through June 15 for STEM teaching </v>
      </c>
      <c r="C6" s="3" t="str">
        <f ca="1">IFERROR(__xludf.DUMMYFUNCTION("""COMPUTED_VALUE"""),"Sharla Lair LYRASIS")</f>
        <v>Sharla Lair LYRASIS</v>
      </c>
      <c r="D6" s="7">
        <f ca="1">IFERROR(__xludf.DUMMYFUNCTION("""COMPUTED_VALUE"""),43903)</f>
        <v>43903</v>
      </c>
      <c r="E6" s="1" t="str">
        <f ca="1">IFERROR(__xludf.DUMMYFUNCTION("""COMPUTED_VALUE"""),"Lookup Specifics")</f>
        <v>Lookup Specifics</v>
      </c>
      <c r="F6" s="8" t="str">
        <f ca="1">IFERROR(__xludf.DUMMYFUNCTION("""COMPUTED_VALUE"""),"https://www.jove.com/about/policies/")</f>
        <v>https://www.jove.com/about/policies/</v>
      </c>
    </row>
    <row r="7" spans="1:7" ht="15.75" customHeight="1" x14ac:dyDescent="0.25">
      <c r="A7" s="4" t="str">
        <f ca="1">IFERROR(__xludf.DUMMYFUNCTION("""COMPUTED_VALUE"""),"Docuseek")</f>
        <v>Docuseek</v>
      </c>
      <c r="B7" s="2" t="str">
        <f ca="1">IFERROR(__xludf.DUMMYFUNCTION("""COMPUTED_VALUE"""),"Has worked out an arrangement with its distribution partners, Bullfrog Films and Icarus Films, to make any of their titles on Docuseek available for educational streaming, at no charge, as long as the school has a legally-acquired copy of the title (any f"&amp;"ormat), through June 30. Contact Docuseek if there are Docuseek titles from other distributors (e.g. Kartemquin, First Run, National Film Board) that you have a hard copy of and your faculty want to use in remote teaching during this period.")</f>
        <v>Has worked out an arrangement with its distribution partners, Bullfrog Films and Icarus Films, to make any of their titles on Docuseek available for educational streaming, at no charge, as long as the school has a legally-acquired copy of the title (any format), through June 30. Contact Docuseek if there are Docuseek titles from other distributors (e.g. Kartemquin, First Run, National Film Board) that you have a hard copy of and your faculty want to use in remote teaching during this period.</v>
      </c>
      <c r="C7" s="3" t="str">
        <f ca="1">IFERROR(__xludf.DUMMYFUNCTION("""COMPUTED_VALUE"""),"Sharla Lair LYRASIS")</f>
        <v>Sharla Lair LYRASIS</v>
      </c>
      <c r="D7" s="7">
        <f ca="1">IFERROR(__xludf.DUMMYFUNCTION("""COMPUTED_VALUE"""),43903)</f>
        <v>43903</v>
      </c>
      <c r="E7" s="1" t="str">
        <f ca="1">IFERROR(__xludf.DUMMYFUNCTION("""COMPUTED_VALUE"""),"Lookup Specifics")</f>
        <v>Lookup Specifics</v>
      </c>
      <c r="F7" s="8" t="str">
        <f ca="1">IFERROR(__xludf.DUMMYFUNCTION("""COMPUTED_VALUE"""),"https://docuseek2.wiki.zoho.com/Privacy-Statement.html")</f>
        <v>https://docuseek2.wiki.zoho.com/Privacy-Statement.html</v>
      </c>
    </row>
    <row r="8" spans="1:7" ht="15.75" customHeight="1" x14ac:dyDescent="0.25">
      <c r="A8" s="4" t="str">
        <f ca="1">IFERROR(__xludf.DUMMYFUNCTION("""COMPUTED_VALUE"""),"BioOne")</f>
        <v>BioOne</v>
      </c>
      <c r="B8" s="2" t="str">
        <f ca="1">IFERROR(__xludf.DUMMYFUNCTION("""COMPUTED_VALUE"""),"In collaboration with the Association of Research Libraries, BioOne and our publishers have made articles related to coronavirus in the following journals available via open access through 2020")</f>
        <v>In collaboration with the Association of Research Libraries, BioOne and our publishers have made articles related to coronavirus in the following journals available via open access through 2020</v>
      </c>
      <c r="C8" s="3" t="str">
        <f ca="1">IFERROR(__xludf.DUMMYFUNCTION("""COMPUTED_VALUE"""),"Sharla Lair LYRASIS")</f>
        <v>Sharla Lair LYRASIS</v>
      </c>
      <c r="D8" s="7">
        <f ca="1">IFERROR(__xludf.DUMMYFUNCTION("""COMPUTED_VALUE"""),43903)</f>
        <v>43903</v>
      </c>
      <c r="E8" s="1" t="str">
        <f ca="1">IFERROR(__xludf.DUMMYFUNCTION("""COMPUTED_VALUE"""),"Lookup Specifics")</f>
        <v>Lookup Specifics</v>
      </c>
      <c r="F8" s="8" t="str">
        <f ca="1">IFERROR(__xludf.DUMMYFUNCTION("""COMPUTED_VALUE"""),"https://bioone.org/privacy-policy")</f>
        <v>https://bioone.org/privacy-policy</v>
      </c>
    </row>
    <row r="9" spans="1:7" ht="15.75" customHeight="1" x14ac:dyDescent="0.25">
      <c r="A9" s="4" t="str">
        <f ca="1">IFERROR(__xludf.DUMMYFUNCTION("""COMPUTED_VALUE"""),"Clarivate Analytics")</f>
        <v>Clarivate Analytics</v>
      </c>
      <c r="B9" s="2" t="str">
        <f ca="1">IFERROR(__xludf.DUMMYFUNCTION("""COMPUTED_VALUE"""),"We take our global citizenship role very seriously and our response includes the launch of a global resource site (https://clarivate.com/coronavirus-resources/?utm_campaign=EM_COVID-19_Announcement_XBU_Global_2020_HTML&amp;utm_medium=email&amp;utm_source=Eloqua&amp;e"&amp;"lqTrackId=01faaa50dd3e47b0b64ff6cfd2129fea&amp;elq=79b89fd3330b475f8bf27ab9b5ca050d&amp;elqaid=8521&amp;elqat=1&amp;elqCampaignId=4380) as well as a Chinese language site (http://clarivate.com.cn/coronavirus-resources/?utm_campaign=EM_COVID-19_Announcement_XBU_Global_202"&amp;"0_HTML&amp;utm_medium=email&amp;utm_source=Eloqua&amp;elqTrackId=263bc205a58540fea396227ac27019fc&amp;elq=79b89fd3330b475f8bf27ab9b5ca050d&amp;elqaid=8521&amp;elqat=1&amp;elqCampaignId=4380) to help medical researchers and healthcare professionals access the world’s leading research"&amp;" and late-breaking news around the coronaviruses. We also contributed to the Wuhan University Fighting COVID-19 Fund in support of local hospitals.")</f>
        <v>We take our global citizenship role very seriously and our response includes the launch of a global resource site (https://clarivate.com/coronavirus-resources/?utm_campaign=EM_COVID-19_Announcement_XBU_Global_2020_HTML&amp;utm_medium=email&amp;utm_source=Eloqua&amp;elqTrackId=01faaa50dd3e47b0b64ff6cfd2129fea&amp;elq=79b89fd3330b475f8bf27ab9b5ca050d&amp;elqaid=8521&amp;elqat=1&amp;elqCampaignId=4380) as well as a Chinese language site (http://clarivate.com.cn/coronavirus-resources/?utm_campaign=EM_COVID-19_Announcement_XBU_Global_2020_HTML&amp;utm_medium=email&amp;utm_source=Eloqua&amp;elqTrackId=263bc205a58540fea396227ac27019fc&amp;elq=79b89fd3330b475f8bf27ab9b5ca050d&amp;elqaid=8521&amp;elqat=1&amp;elqCampaignId=4380) to help medical researchers and healthcare professionals access the world’s leading research and late-breaking news around the coronaviruses. We also contributed to the Wuhan University Fighting COVID-19 Fund in support of local hospitals.</v>
      </c>
      <c r="C9" s="3" t="str">
        <f ca="1">IFERROR(__xludf.DUMMYFUNCTION("""COMPUTED_VALUE"""),"Sharla Lair LYRASIS")</f>
        <v>Sharla Lair LYRASIS</v>
      </c>
      <c r="D9" s="7">
        <f ca="1">IFERROR(__xludf.DUMMYFUNCTION("""COMPUTED_VALUE"""),43904)</f>
        <v>43904</v>
      </c>
      <c r="E9" s="1" t="str">
        <f ca="1">IFERROR(__xludf.DUMMYFUNCTION("""COMPUTED_VALUE"""),"Lookup Specifics")</f>
        <v>Lookup Specifics</v>
      </c>
      <c r="F9" s="8" t="str">
        <f ca="1">IFERROR(__xludf.DUMMYFUNCTION("""COMPUTED_VALUE"""),"https://clarivate.com/legal/privacy-policy/")</f>
        <v>https://clarivate.com/legal/privacy-policy/</v>
      </c>
    </row>
    <row r="10" spans="1:7" ht="15.75" customHeight="1" x14ac:dyDescent="0.25">
      <c r="A10" s="4" t="str">
        <f ca="1">IFERROR(__xludf.DUMMYFUNCTION("""COMPUTED_VALUE"""),"Elsevier")</f>
        <v>Elsevier</v>
      </c>
      <c r="B10" s="2" t="str">
        <f ca="1">IFERROR(__xludf.DUMMYFUNCTION("""COMPUTED_VALUE"""),"Elsevier gives full access to its content on its COVID-19 Information Center for PubMed Central and other public health databases to accelerate fight against coronavirus
Elsevier Textbooks freely available on multiple platforms. ScienceDirect Textbooks: "&amp;"The 256 textbooks currently on ScienceDirect will be automatically entitled to all active ScienceDirect customers (including those journals customers who do not currently have books) for a period of 90 days. Users accessing ScienceDirect through IP or rem"&amp;"ote access will be able to use these books while campuses are closed.  Access the title list here (expected to be updated by end of day Wednesday, March 18).
VitalSource and Elsevier Partner to Provide ebook Access to Students
To assist students at disr"&amp;"upted semester-calendar schools who are losing access to course materials due to COVID-19 campus closures, VitalSource has been joined by publishers and partners to offer free access to ebooks to students whose classes have moved online from March 16 thro"&amp;"ugh May 25, 2020. Students will be able to access the expansive catalog of ebooks from participating publishers through the VitalSource Bookshelf app effective immediately.
See https://www.elsevier.com/connect/coronavirus-initiatives for a complete &amp; re"&amp;"gularly updated list of all Elsevier coronavirus initiatives.
")</f>
        <v xml:space="preserve">Elsevier gives full access to its content on its COVID-19 Information Center for PubMed Central and other public health databases to accelerate fight against coronavirus
Elsevier Textbooks freely available on multiple platforms. ScienceDirect Textbooks: The 256 textbooks currently on ScienceDirect will be automatically entitled to all active ScienceDirect customers (including those journals customers who do not currently have books) for a period of 90 days. Users accessing ScienceDirect through IP or remote access will be able to use these books while campuses are closed.  Access the title list here (expected to be updated by end of day Wednesday, March 18).
VitalSource and Elsevier Partner to Provide ebook Access to Students
To assist students at disrupted semester-calendar schools who are losing access to course materials due to COVID-19 campus closures, VitalSource has been joined by publishers and partners to offer free access to ebooks to students whose classes have moved online from March 16 through May 25, 2020. Students will be able to access the expansive catalog of ebooks from participating publishers through the VitalSource Bookshelf app effective immediately.
See https://www.elsevier.com/connect/coronavirus-initiatives for a complete &amp; regularly updated list of all Elsevier coronavirus initiatives.
</v>
      </c>
      <c r="C10" s="3" t="str">
        <f ca="1">IFERROR(__xludf.DUMMYFUNCTION("""COMPUTED_VALUE"""),"Sharla Lair LYRASIS
Lene Ottesen UiT The Arctic University of Norway ")</f>
        <v xml:space="preserve">Sharla Lair LYRASIS
Lene Ottesen UiT The Arctic University of Norway </v>
      </c>
      <c r="D10" s="7">
        <f ca="1">IFERROR(__xludf.DUMMYFUNCTION("""COMPUTED_VALUE"""),43917)</f>
        <v>43917</v>
      </c>
      <c r="E10" s="1" t="str">
        <f ca="1">IFERROR(__xludf.DUMMYFUNCTION("""COMPUTED_VALUE"""),"Lookup Specifics")</f>
        <v>Lookup Specifics</v>
      </c>
      <c r="F10" s="8" t="str">
        <f ca="1">IFERROR(__xludf.DUMMYFUNCTION("""COMPUTED_VALUE"""),"https://privacy.elsevier.com/")</f>
        <v>https://privacy.elsevier.com/</v>
      </c>
    </row>
    <row r="11" spans="1:7" ht="15.75" customHeight="1" x14ac:dyDescent="0.25">
      <c r="A11" s="4" t="str">
        <f ca="1">IFERROR(__xludf.DUMMYFUNCTION("""COMPUTED_VALUE"""),"ProQuest")</f>
        <v>ProQuest</v>
      </c>
      <c r="B11" s="2" t="str">
        <f ca="1">IFERROR(__xludf.DUMMYFUNCTION("""COMPUTED_VALUE"""),"Unlimited Access to Ebook Central Holdings - https://www.proquest.com/blog/pqblog/2020/Coronavirus-Impacted-Libraries-Get-Unlimited-Access-to-Ebook-Central.html")</f>
        <v>Unlimited Access to Ebook Central Holdings - https://www.proquest.com/blog/pqblog/2020/Coronavirus-Impacted-Libraries-Get-Unlimited-Access-to-Ebook-Central.html</v>
      </c>
      <c r="C11" s="3" t="str">
        <f ca="1">IFERROR(__xludf.DUMMYFUNCTION("""COMPUTED_VALUE"""),"Sharla Lair LYRASIS")</f>
        <v>Sharla Lair LYRASIS</v>
      </c>
      <c r="D11" s="7">
        <f ca="1">IFERROR(__xludf.DUMMYFUNCTION("""COMPUTED_VALUE"""),43905)</f>
        <v>43905</v>
      </c>
      <c r="E11" s="1" t="str">
        <f ca="1">IFERROR(__xludf.DUMMYFUNCTION("""COMPUTED_VALUE"""),"Lookup Specifics")</f>
        <v>Lookup Specifics</v>
      </c>
      <c r="F11" s="8" t="str">
        <f ca="1">IFERROR(__xludf.DUMMYFUNCTION("""COMPUTED_VALUE"""),"https://www.proquest.com/about/privacy-statement.html")</f>
        <v>https://www.proquest.com/about/privacy-statement.html</v>
      </c>
    </row>
    <row r="12" spans="1:7" ht="15.75" customHeight="1" x14ac:dyDescent="0.25">
      <c r="A12" s="4" t="str">
        <f ca="1">IFERROR(__xludf.DUMMYFUNCTION("""COMPUTED_VALUE"""),"Wiley")</f>
        <v>Wiley</v>
      </c>
      <c r="B12" s="2" t="str">
        <f ca="1">IFERROR(__xludf.DUMMYFUNCTION("""COMPUTED_VALUE"""),"For the Education Community: As a growing number of schools are being affected by COVID-19, Wiley is aiming to ensure instructors who need to teach remotely have the necessary tools to help their students. Beginning today, instructors without an adopted o"&amp;"nline learning solution, such as WileyPLUS, Knewton Alta or zyBooks, can receive free access for their students for the remainder of the Spring 2020 term. Instructors teaching at impacted institutions can request access to WileyPLUS or Knewton Alta here ("&amp;"https://secure.wiley.com/COVID19OpenWPAccess); instructors looking for zyBooks access can apply here (https://www.zybooks.com/). For current WileyPLUS and Knewton Alta instructors, Customer Success Specialists are equipped to provide additional support, i"&amp;"ncluding extension of due dates, adjusting assignments or increasing the capacity to work remotely. https://newsroom.wiley.com/press-release/all-corporate-news/wiley-opens-access-support-educators-researchers-professionals-amid?elq_mid=43423&amp;elq_cid=16633"&amp;"593-Customer%20%28covering%20AT%29%20Impacted%20by%20Coronavirus_202003_W9Z2J")</f>
        <v>For the Education Community: As a growing number of schools are being affected by COVID-19, Wiley is aiming to ensure instructors who need to teach remotely have the necessary tools to help their students. Beginning today, instructors without an adopted online learning solution, such as WileyPLUS, Knewton Alta or zyBooks, can receive free access for their students for the remainder of the Spring 2020 term. Instructors teaching at impacted institutions can request access to WileyPLUS or Knewton Alta here (https://secure.wiley.com/COVID19OpenWPAccess); instructors looking for zyBooks access can apply here (https://www.zybooks.com/). For current WileyPLUS and Knewton Alta instructors, Customer Success Specialists are equipped to provide additional support, including extension of due dates, adjusting assignments or increasing the capacity to work remotely. https://newsroom.wiley.com/press-release/all-corporate-news/wiley-opens-access-support-educators-researchers-professionals-amid?elq_mid=43423&amp;elq_cid=16633593-Customer%20%28covering%20AT%29%20Impacted%20by%20Coronavirus_202003_W9Z2J</v>
      </c>
      <c r="C12" s="3" t="str">
        <f ca="1">IFERROR(__xludf.DUMMYFUNCTION("""COMPUTED_VALUE"""),"Sharla Lair LYRASIS")</f>
        <v>Sharla Lair LYRASIS</v>
      </c>
      <c r="D12" s="7">
        <f ca="1">IFERROR(__xludf.DUMMYFUNCTION("""COMPUTED_VALUE"""),43905)</f>
        <v>43905</v>
      </c>
      <c r="E12" s="1" t="str">
        <f ca="1">IFERROR(__xludf.DUMMYFUNCTION("""COMPUTED_VALUE"""),"Lookup Specifics")</f>
        <v>Lookup Specifics</v>
      </c>
      <c r="F12" s="8" t="str">
        <f ca="1">IFERROR(__xludf.DUMMYFUNCTION("""COMPUTED_VALUE"""),"https://www.wiley-vch.de/en/info/contact-masthead")</f>
        <v>https://www.wiley-vch.de/en/info/contact-masthead</v>
      </c>
    </row>
    <row r="13" spans="1:7" ht="15.75" customHeight="1" x14ac:dyDescent="0.25">
      <c r="A13" s="4" t="str">
        <f ca="1">IFERROR(__xludf.DUMMYFUNCTION("""COMPUTED_VALUE"""),"SoftChalk")</f>
        <v>SoftChalk</v>
      </c>
      <c r="B13" s="2" t="str">
        <f ca="1">IFERROR(__xludf.DUMMYFUNCTION("""COMPUTED_VALUE"""),"SoftChalk, the education company that provides the premier online lesson creation and student interaction tool, is offering assistance to academic institutions and organizations to help educators meet the demands created by school closings and the tempora"&amp;"ry shift to online course delivery during the COVID-19 threat.
SoftChalk is offering free access to SoftChalk Cloud from now through May 31, 2020 to anyone who may need it to quickly and easily create online lessons and course materials for delivery to s"&amp;"tudents.
How To Quickly Get Started With SoftChalk
Go here to open your free account: https://info.softchalk.com/extended-softchalk-cloud-trial?utm_campaign=General&amp;utm_source=hs_email&amp;utm_medium=email&amp;utm_content=84696227&amp;_hsenc=p2ANqtz-_wNgplG8kAtpbnr"&amp;"N0ImyLpmUaZPjJfDt17aY-vMBNZ-RIyOgi00Qh87AcjKgRfxw62IZZplWc4wVVCx4r9sf-1GPXvbg&amp;_hsmi=84696227
Get started by reviewing our Video Tutorials. (This short introduction to creating an online lesson is a good place to start)
Refer to our Quick Start Guide for a"&amp;"ny additional assistance
Our Support Team is ready to provide assistance as needed.
Why We’re Doing This
We’re educators first and we want to help our fellow educators however we can.
Maintaining normalcy is important in such uncertain times. SoftChalk c"&amp;"an help you quickly adapt to these new physical limitations and the need to deliver remote instruction to your students.
We want to be part of the solution, however possible.
What Happens After May 31st?
First, you won’t be charged for anything without y"&amp;"our explicit permission after this date. You have our word.
We’ll reassess and determine if this deadline should be extended.
For our existing customers already using SoftChalk Cloud, please feel free to reach out to us at learnmore@softchalk.com for ways"&amp;" we can continue to support you at this time.
Should you have any questions or concerns, please let us know.")</f>
        <v>SoftChalk, the education company that provides the premier online lesson creation and student interaction tool, is offering assistance to academic institutions and organizations to help educators meet the demands created by school closings and the temporary shift to online course delivery during the COVID-19 threat.
SoftChalk is offering free access to SoftChalk Cloud from now through May 31, 2020 to anyone who may need it to quickly and easily create online lessons and course materials for delivery to students.
How To Quickly Get Started With SoftChalk
Go here to open your free account: https://info.softchalk.com/extended-softchalk-cloud-trial?utm_campaign=General&amp;utm_source=hs_email&amp;utm_medium=email&amp;utm_content=84696227&amp;_hsenc=p2ANqtz-_wNgplG8kAtpbnrN0ImyLpmUaZPjJfDt17aY-vMBNZ-RIyOgi00Qh87AcjKgRfxw62IZZplWc4wVVCx4r9sf-1GPXvbg&amp;_hsmi=84696227
Get started by reviewing our Video Tutorials. (This short introduction to creating an online lesson is a good place to start)
Refer to our Quick Start Guide for any additional assistance
Our Support Team is ready to provide assistance as needed.
Why We’re Doing This
We’re educators first and we want to help our fellow educators however we can.
Maintaining normalcy is important in such uncertain times. SoftChalk can help you quickly adapt to these new physical limitations and the need to deliver remote instruction to your students.
We want to be part of the solution, however possible.
What Happens After May 31st?
First, you won’t be charged for anything without your explicit permission after this date. You have our word.
We’ll reassess and determine if this deadline should be extended.
For our existing customers already using SoftChalk Cloud, please feel free to reach out to us at learnmore@softchalk.com for ways we can continue to support you at this time.
Should you have any questions or concerns, please let us know.</v>
      </c>
      <c r="C13" s="3" t="str">
        <f ca="1">IFERROR(__xludf.DUMMYFUNCTION("""COMPUTED_VALUE"""),"Sharla Lair")</f>
        <v>Sharla Lair</v>
      </c>
      <c r="D13" s="7">
        <f ca="1">IFERROR(__xludf.DUMMYFUNCTION("""COMPUTED_VALUE"""),43905)</f>
        <v>43905</v>
      </c>
      <c r="E13" s="1" t="str">
        <f ca="1">IFERROR(__xludf.DUMMYFUNCTION("""COMPUTED_VALUE"""),"Lookup Specifics")</f>
        <v>Lookup Specifics</v>
      </c>
      <c r="F13" s="8" t="str">
        <f ca="1">IFERROR(__xludf.DUMMYFUNCTION("""COMPUTED_VALUE"""),"https://www.softchalkcloud.com/privacy")</f>
        <v>https://www.softchalkcloud.com/privacy</v>
      </c>
    </row>
    <row r="14" spans="1:7" ht="15.75" customHeight="1" x14ac:dyDescent="0.25">
      <c r="A14" s="4" t="str">
        <f ca="1">IFERROR(__xludf.DUMMYFUNCTION("""COMPUTED_VALUE"""),"Macmillan Learning")</f>
        <v>Macmillan Learning</v>
      </c>
      <c r="B14" s="2" t="str">
        <f ca="1">IFERROR(__xludf.DUMMYFUNCTION("""COMPUTED_VALUE"""),"Contact: https://twitter.com/MacmillanLearn/status/1238437403817316352?s=20 
If your school is transitioning from in-person to online classes b/c #COVID19 we're here for you. Our #edtech tools - LaunchPad, Sapling, FlipIt, iClicker &amp; Lab Sims - are free "&amp;"this semester until July 1 for impacted customers using our print books. Contact your rep for details.")</f>
        <v>Contact: https://twitter.com/MacmillanLearn/status/1238437403817316352?s=20 
If your school is transitioning from in-person to online classes b/c #COVID19 we're here for you. Our #edtech tools - LaunchPad, Sapling, FlipIt, iClicker &amp; Lab Sims - are free this semester until July 1 for impacted customers using our print books. Contact your rep for details.</v>
      </c>
      <c r="C14" s="3" t="str">
        <f ca="1">IFERROR(__xludf.DUMMYFUNCTION("""COMPUTED_VALUE"""),"Sharla Lair LYRASIS")</f>
        <v>Sharla Lair LYRASIS</v>
      </c>
      <c r="D14" s="7">
        <f ca="1">IFERROR(__xludf.DUMMYFUNCTION("""COMPUTED_VALUE"""),43905)</f>
        <v>43905</v>
      </c>
      <c r="E14" s="1" t="str">
        <f ca="1">IFERROR(__xludf.DUMMYFUNCTION("""COMPUTED_VALUE"""),"Lookup Specifics")</f>
        <v>Lookup Specifics</v>
      </c>
      <c r="F14" s="8" t="str">
        <f ca="1">IFERROR(__xludf.DUMMYFUNCTION("""COMPUTED_VALUE"""),"https://www.macmillanihe.com/page/privacy-policy/")</f>
        <v>https://www.macmillanihe.com/page/privacy-policy/</v>
      </c>
    </row>
    <row r="15" spans="1:7" ht="15.75" customHeight="1" x14ac:dyDescent="0.25">
      <c r="A15" s="4" t="str">
        <f ca="1">IFERROR(__xludf.DUMMYFUNCTION("""COMPUTED_VALUE"""),"Lumen Open Education Resources")</f>
        <v>Lumen Open Education Resources</v>
      </c>
      <c r="B15" s="2" t="str">
        <f ca="1">IFERROR(__xludf.DUMMYFUNCTION("""COMPUTED_VALUE"""),"CONTACT: support@lumenlearning.com
Amid all this disruption and uncertainty, the Lumen Learning Team stands ready to assist with any rapid transition institutions and educators may be making to online learning, in order to reduce risk and slow the pa"&amp;"ce of transmission.
Lumen courseware is designed to help at-risk students succeed in digital environments, and we want to make our learning tools and team readily available wherever we may be helpful. We’re taking the following steps to help institutio"&amp;"ns resolve problems and get students through this term successfully.
Live classes may shift to Lumen Waymaker or OHM courseware at no cost for the remainder of the term. For faculty members seeking a well-designed digital alternative or supplement to t"&amp;"heir current textbook, Lumen courseware may be a good fit. Course set-up is simple, and faculty can be ready to teach the same day they make the change. We also provide free services to support a successful transition. Learn More. 
To support professiona"&amp;"l development, we’re introducing a series of short videos about effective digital teaching and learning using Lumen courseware. We’ll begin sharing them later this week on Lumen’s blog. Topics include:
Setting up your course in the LMS
Engaging students"&amp;" in virtual environments
Staying connected to students at a distance
Helping students become self-directed learners
And more!
Lumen’s outstanding Support Team is available to assist with any needs. Reach out with support needs and general questions, i"&amp;"ncluding help for instructional designers, LMS administrators and others working with faculty to switch modalities using our courseware. Send a message to support@lumenlearning.com or schedule an Office Hours appointment for live virtual support.
Lumen C"&amp;"ommunity Slack can connect you with the Lumen Team, as well as faculty using Lumen courseware and other members of our community. Use this form to request an invitation to this collaboration tool.
Please reach out if the Lumen Team may be of help in any "&amp;"way possible during this period.
https://lumenlearning.com/ceo-message-lumen-stands-ready-to-help/")</f>
        <v>CONTACT: support@lumenlearning.com
Amid all this disruption and uncertainty, the Lumen Learning Team stands ready to assist with any rapid transition institutions and educators may be making to online learning, in order to reduce risk and slow the pace of transmission.
Lumen courseware is designed to help at-risk students succeed in digital environments, and we want to make our learning tools and team readily available wherever we may be helpful. We’re taking the following steps to help institutions resolve problems and get students through this term successfully.
Live classes may shift to Lumen Waymaker or OHM courseware at no cost for the remainder of the term. For faculty members seeking a well-designed digital alternative or supplement to their current textbook, Lumen courseware may be a good fit. Course set-up is simple, and faculty can be ready to teach the same day they make the change. We also provide free services to support a successful transition. Learn More. 
To support professional development, we’re introducing a series of short videos about effective digital teaching and learning using Lumen courseware. We’ll begin sharing them later this week on Lumen’s blog. Topics include:
Setting up your course in the LMS
Engaging students in virtual environments
Staying connected to students at a distance
Helping students become self-directed learners
And more!
Lumen’s outstanding Support Team is available to assist with any needs. Reach out with support needs and general questions, including help for instructional designers, LMS administrators and others working with faculty to switch modalities using our courseware. Send a message to support@lumenlearning.com or schedule an Office Hours appointment for live virtual support.
Lumen Community Slack can connect you with the Lumen Team, as well as faculty using Lumen courseware and other members of our community. Use this form to request an invitation to this collaboration tool.
Please reach out if the Lumen Team may be of help in any way possible during this period.
https://lumenlearning.com/ceo-message-lumen-stands-ready-to-help/</v>
      </c>
      <c r="C15" s="3" t="str">
        <f ca="1">IFERROR(__xludf.DUMMYFUNCTION("""COMPUTED_VALUE"""),"Sharla Lair LYRASIS")</f>
        <v>Sharla Lair LYRASIS</v>
      </c>
      <c r="D15" s="7">
        <f ca="1">IFERROR(__xludf.DUMMYFUNCTION("""COMPUTED_VALUE"""),43905)</f>
        <v>43905</v>
      </c>
      <c r="E15" s="1" t="str">
        <f ca="1">IFERROR(__xludf.DUMMYFUNCTION("""COMPUTED_VALUE"""),"Lookup Specifics")</f>
        <v>Lookup Specifics</v>
      </c>
      <c r="F15" s="5" t="str">
        <f ca="1">IFERROR(__xludf.DUMMYFUNCTION("""COMPUTED_VALUE"""),"")</f>
        <v/>
      </c>
    </row>
    <row r="16" spans="1:7" ht="15.75" customHeight="1" x14ac:dyDescent="0.25">
      <c r="A16" s="4" t="str">
        <f ca="1">IFERROR(__xludf.DUMMYFUNCTION("""COMPUTED_VALUE"""),"")</f>
        <v/>
      </c>
      <c r="B16" s="2" t="str">
        <f ca="1">IFERROR(__xludf.DUMMYFUNCTION("""COMPUTED_VALUE"""),"Please email nerdpower@berkeley.edu with updates or post new offers to VideoLib or to subscribe to VideoLib. For virtual instruction, VideoLib always recommends assigning streaming videos to students outside of virtual lectures.
Thanks to all the vendor"&amp;"/distributors who are making these special accommodations during this challenging time.  I appreciate how complex it is to make these accommodations for most distributors, from a financial, logistical and contractual perspective.  It is so comforting and "&amp;"inspiring to see this outpouring of support from the distributors.
Special thanks to Carolyn Faber, Media Preservation and Digitization Librarian at Flaxman Library, School of the Art Institute of Chicago for sharing their spreadsheet which helped tremen"&amp;"dously.
Gisèle Tanasse
Film &amp; Media Services Librarian
Media Resources Center
University of California, Berkeley")</f>
        <v>Please email nerdpower@berkeley.edu with updates or post new offers to VideoLib or to subscribe to VideoLib. For virtual instruction, VideoLib always recommends assigning streaming videos to students outside of virtual lectures.
Thanks to all the vendor/distributors who are making these special accommodations during this challenging time.  I appreciate how complex it is to make these accommodations for most distributors, from a financial, logistical and contractual perspective.  It is so comforting and inspiring to see this outpouring of support from the distributors.
Special thanks to Carolyn Faber, Media Preservation and Digitization Librarian at Flaxman Library, School of the Art Institute of Chicago for sharing their spreadsheet which helped tremendously.
Gisèle Tanasse
Film &amp; Media Services Librarian
Media Resources Center
University of California, Berkeley</v>
      </c>
      <c r="C16" s="3" t="str">
        <f ca="1">IFERROR(__xludf.DUMMYFUNCTION("""COMPUTED_VALUE"""),"Sharla Lair LYRASIS")</f>
        <v>Sharla Lair LYRASIS</v>
      </c>
      <c r="D16" s="7" t="str">
        <f ca="1">IFERROR(__xludf.DUMMYFUNCTION("""COMPUTED_VALUE"""),"3.15.2020")</f>
        <v>3.15.2020</v>
      </c>
      <c r="E16" s="4" t="str">
        <f ca="1">IFERROR(__xludf.DUMMYFUNCTION("""COMPUTED_VALUE"""),"Lookup Specifics")</f>
        <v>Lookup Specifics</v>
      </c>
      <c r="F16" s="5" t="str">
        <f ca="1">IFERROR(__xludf.DUMMYFUNCTION("""COMPUTED_VALUE"""),"")</f>
        <v/>
      </c>
    </row>
    <row r="17" spans="1:6" ht="15.75" customHeight="1" x14ac:dyDescent="0.25">
      <c r="A17" s="4" t="str">
        <f ca="1">IFERROR(__xludf.DUMMYFUNCTION("""COMPUTED_VALUE"""),"EBSCO (EIS)")</f>
        <v>EBSCO (EIS)</v>
      </c>
      <c r="B17" s="2" t="str">
        <f ca="1">IFERROR(__xludf.DUMMYFUNCTION("""COMPUTED_VALUE"""),"EBSCO, like many organizations, is paying close attention to the continuously evolving news regarding COVID-19, including recommendations from the CDC and WHO about traveling, social distancing and quarantines.
This message is specific to our subscription"&amp;" services (print journals &amp; magazines, e-journals and e-packages). We have in place a contingency plan that allows us to continue subscription service operations in case our on-site operations are interrupted by government-mandated quarantines or COVID-19"&amp;" outbreaks in our primary service location. However, we need your help to facilitate this plan.
Receiving and Sending Renewals, Invoices &amp; Other Information to EBSCO
Should we need to close our main operations facility for an extended period of time, emp"&amp;"loyees will be able to work remotely. Due to the increased possibility that we may have to engage our remote work plan, we are asking all of our customers to consider electronic means of communication and of receiving and submitting documents such as invo"&amp;"ices and renewal lists. If you are already doing this – thank you! If not, please keep reading for the options available to you.
E-mail and phone communication for day-to-day concerns should not be interrupted. Our Customer Service Team is prepared to wo"&amp;"rk remotely. EBSCO also offers the option of using our Customer Service Portal in EBSCONET, which allows you to communicate directly with your assigned EBSCO representative.
For subscription renewals, customers have the following options:
Work your rene"&amp;"wal online via EBSCONET. Your account must be set up for this functionality, but we can set you up quickly upon request – just ask your Customer Service Representative.
Receive your renewal list in PDF/Excel format rather than paper. This can also be requ"&amp;"ested via your Customer Service Representative.
If you are not already receiving invoices via email for your EBSCO subscriptions, you can request this change via your Accounts Receivable Representative or your Customer Service Representative. In the eve"&amp;"nt that EBSCO’s on-site subscription operations are interrupted, and EBSCO moves to a contingency plan, the delivery of paper invoices may be delayed or interrupted.")</f>
        <v>EBSCO, like many organizations, is paying close attention to the continuously evolving news regarding COVID-19, including recommendations from the CDC and WHO about traveling, social distancing and quarantines.
This message is specific to our subscription services (print journals &amp; magazines, e-journals and e-packages). We have in place a contingency plan that allows us to continue subscription service operations in case our on-site operations are interrupted by government-mandated quarantines or COVID-19 outbreaks in our primary service location. However, we need your help to facilitate this plan.
Receiving and Sending Renewals, Invoices &amp; Other Information to EBSCO
Should we need to close our main operations facility for an extended period of time, employees will be able to work remotely. Due to the increased possibility that we may have to engage our remote work plan, we are asking all of our customers to consider electronic means of communication and of receiving and submitting documents such as invoices and renewal lists. If you are already doing this – thank you! If not, please keep reading for the options available to you.
E-mail and phone communication for day-to-day concerns should not be interrupted. Our Customer Service Team is prepared to work remotely. EBSCO also offers the option of using our Customer Service Portal in EBSCONET, which allows you to communicate directly with your assigned EBSCO representative.
For subscription renewals, customers have the following options:
Work your renewal online via EBSCONET. Your account must be set up for this functionality, but we can set you up quickly upon request – just ask your Customer Service Representative.
Receive your renewal list in PDF/Excel format rather than paper. This can also be requested via your Customer Service Representative.
If you are not already receiving invoices via email for your EBSCO subscriptions, you can request this change via your Accounts Receivable Representative or your Customer Service Representative. In the event that EBSCO’s on-site subscription operations are interrupted, and EBSCO moves to a contingency plan, the delivery of paper invoices may be delayed or interrupted.</v>
      </c>
      <c r="C17" s="3" t="str">
        <f ca="1">IFERROR(__xludf.DUMMYFUNCTION("""COMPUTED_VALUE"""),"")</f>
        <v/>
      </c>
      <c r="D17" s="7" t="str">
        <f ca="1">IFERROR(__xludf.DUMMYFUNCTION("""COMPUTED_VALUE"""),"3.15.2020")</f>
        <v>3.15.2020</v>
      </c>
      <c r="E17" s="4" t="str">
        <f ca="1">IFERROR(__xludf.DUMMYFUNCTION("""COMPUTED_VALUE"""),"[This response does not include expanded access]")</f>
        <v>[This response does not include expanded access]</v>
      </c>
      <c r="F17" s="8" t="str">
        <f ca="1">IFERROR(__xludf.DUMMYFUNCTION("""COMPUTED_VALUE"""),"https://www.ebsco.com/gdpr")</f>
        <v>https://www.ebsco.com/gdpr</v>
      </c>
    </row>
    <row r="18" spans="1:6" ht="15.75" customHeight="1" x14ac:dyDescent="0.25">
      <c r="A18" s="4" t="str">
        <f ca="1">IFERROR(__xludf.DUMMYFUNCTION("""COMPUTED_VALUE"""),"Hoopla (Midwest Tape)")</f>
        <v>Hoopla (Midwest Tape)</v>
      </c>
      <c r="B18" s="2" t="str">
        <f ca="1">IFERROR(__xludf.DUMMYFUNCTION("""COMPUTED_VALUE"""),"Many libraries are going to be closed to the public for at least two weeks. There is a chance this could extend well beyond two weeks. As libraries cope with supplying patrons with digital content, we approached Midwest Tape about arranging for temporary "&amp;"Hoopla contracts for libraries (particularly public libraries) who have never used Hoopla in the past but would like to divert financial resources to it while they are not making physical material purchases.
The Hoopla implementation/rollout period would"&amp;" also be expedited. The only downside here is that subscribing libraries would not receive a physical marketing kit to distribute to patrons at launch.
Contracts would be for 6 months instead of the customary 24, but libraries can cancel at any time with"&amp;" 60-days' notice.
")</f>
        <v xml:space="preserve">Many libraries are going to be closed to the public for at least two weeks. There is a chance this could extend well beyond two weeks. As libraries cope with supplying patrons with digital content, we approached Midwest Tape about arranging for temporary Hoopla contracts for libraries (particularly public libraries) who have never used Hoopla in the past but would like to divert financial resources to it while they are not making physical material purchases.
The Hoopla implementation/rollout period would also be expedited. The only downside here is that subscribing libraries would not receive a physical marketing kit to distribute to patrons at launch.
Contracts would be for 6 months instead of the customary 24, but libraries can cancel at any time with 60-days' notice.
</v>
      </c>
      <c r="C18" s="3" t="str">
        <f ca="1">IFERROR(__xludf.DUMMYFUNCTION("""COMPUTED_VALUE"""),"Phillip Berg
MAIN
phillip.berg@mainlib.org")</f>
        <v>Phillip Berg
MAIN
phillip.berg@mainlib.org</v>
      </c>
      <c r="D18" s="7">
        <f ca="1">IFERROR(__xludf.DUMMYFUNCTION("""COMPUTED_VALUE"""),43906)</f>
        <v>43906</v>
      </c>
      <c r="E18" s="1" t="str">
        <f ca="1">IFERROR(__xludf.DUMMYFUNCTION("""COMPUTED_VALUE"""),"Lookup Specifics")</f>
        <v>Lookup Specifics</v>
      </c>
      <c r="F18" s="5" t="str">
        <f ca="1">IFERROR(__xludf.DUMMYFUNCTION("""COMPUTED_VALUE"""),"")</f>
        <v/>
      </c>
    </row>
    <row r="19" spans="1:6" ht="15.75" customHeight="1" x14ac:dyDescent="0.25">
      <c r="A19" s="4" t="str">
        <f ca="1">IFERROR(__xludf.DUMMYFUNCTION("""COMPUTED_VALUE"""),"Springer Nature")</f>
        <v>Springer Nature</v>
      </c>
      <c r="B19" s="2" t="str">
        <f ca="1">IFERROR(__xludf.DUMMYFUNCTION("""COMPUTED_VALUE"""),"The latest coronavirus research and news items are freely available from Springer Nature. This material is authoritative and could help on a broad scale. The landing pages for this open content are:
Nature collection: https://www.nature.com/collections/ha"&amp;"jgidghjb
Springer collection: https://www.springernature.com/gp/researchers/campaigns/coronavirus
Users will be logged in for 90 days after their initial authentication. ")</f>
        <v xml:space="preserve">The latest coronavirus research and news items are freely available from Springer Nature. This material is authoritative and could help on a broad scale. The landing pages for this open content are:
Nature collection: https://www.nature.com/collections/hajgidghjb
Springer collection: https://www.springernature.com/gp/researchers/campaigns/coronavirus
Users will be logged in for 90 days after their initial authentication. </v>
      </c>
      <c r="C19" s="3" t="str">
        <f ca="1">IFERROR(__xludf.DUMMYFUNCTION("""COMPUTED_VALUE"""),"Jason Friedman
CRKN
jfriedman@crkn.ca")</f>
        <v>Jason Friedman
CRKN
jfriedman@crkn.ca</v>
      </c>
      <c r="D19" s="7">
        <f ca="1">IFERROR(__xludf.DUMMYFUNCTION("""COMPUTED_VALUE"""),43909)</f>
        <v>43909</v>
      </c>
      <c r="E19" s="1" t="str">
        <f ca="1">IFERROR(__xludf.DUMMYFUNCTION("""COMPUTED_VALUE"""),"Lookup Specifics")</f>
        <v>Lookup Specifics</v>
      </c>
      <c r="F19" s="8" t="str">
        <f ca="1">IFERROR(__xludf.DUMMYFUNCTION("""COMPUTED_VALUE"""),"https://www.springernature.com/la/legal/privacy-statement/11033522")</f>
        <v>https://www.springernature.com/la/legal/privacy-statement/11033522</v>
      </c>
    </row>
    <row r="20" spans="1:6" ht="15.75" customHeight="1" x14ac:dyDescent="0.25">
      <c r="A20" s="4" t="str">
        <f ca="1">IFERROR(__xludf.DUMMYFUNCTION("""COMPUTED_VALUE"""),"McGraw-Hill Education")</f>
        <v>McGraw-Hill Education</v>
      </c>
      <c r="B20" s="2" t="str">
        <f ca="1">IFERROR(__xludf.DUMMYFUNCTION("""COMPUTED_VALUE"""),"Core digital learning platforms, McGraw-Hill Connect and ALEKS, are available for free to any student and instructor who needs it for the remainder of this Spring 2020 term. https://www.mheducation.com/highered/support/connect/how-to-move-your-course-onli"&amp;"ne")</f>
        <v>Core digital learning platforms, McGraw-Hill Connect and ALEKS, are available for free to any student and instructor who needs it for the remainder of this Spring 2020 term. https://www.mheducation.com/highered/support/connect/how-to-move-your-course-online</v>
      </c>
      <c r="C20" s="3" t="str">
        <f ca="1">IFERROR(__xludf.DUMMYFUNCTION("""COMPUTED_VALUE"""),"Amy Pawlowski
OhioLINK
amy@ohiolink.edu")</f>
        <v>Amy Pawlowski
OhioLINK
amy@ohiolink.edu</v>
      </c>
      <c r="D20" s="7">
        <f ca="1">IFERROR(__xludf.DUMMYFUNCTION("""COMPUTED_VALUE"""),43906)</f>
        <v>43906</v>
      </c>
      <c r="E20" s="1" t="str">
        <f ca="1">IFERROR(__xludf.DUMMYFUNCTION("""COMPUTED_VALUE"""),"Lookup Specifics")</f>
        <v>Lookup Specifics</v>
      </c>
      <c r="F20" s="5" t="str">
        <f ca="1">IFERROR(__xludf.DUMMYFUNCTION("""COMPUTED_VALUE"""),"")</f>
        <v/>
      </c>
    </row>
    <row r="21" spans="1:6" ht="15.75" customHeight="1" x14ac:dyDescent="0.25">
      <c r="A21" s="4" t="str">
        <f ca="1">IFERROR(__xludf.DUMMYFUNCTION("""COMPUTED_VALUE"""),"Kanopy")</f>
        <v>Kanopy</v>
      </c>
      <c r="B21" s="2" t="str">
        <f ca="1">IFERROR(__xludf.DUMMYFUNCTION("""COMPUTED_VALUE"""),"With the support of select content partners like First Run Features, Samuel Goldwyn, Collective Eye Films, FilmRise, Films We Like, Media Education Foundation and NYX and more, Kanopy has put together a collection of (15 films, to start) that your campus "&amp;"can watch at no cost for the next 30 days (through April 12). PDF with links to the Films: http://bit.ly/KanopyFreeCOVID-19")</f>
        <v>With the support of select content partners like First Run Features, Samuel Goldwyn, Collective Eye Films, FilmRise, Films We Like, Media Education Foundation and NYX and more, Kanopy has put together a collection of (15 films, to start) that your campus can watch at no cost for the next 30 days (through April 12). PDF with links to the Films: http://bit.ly/KanopyFreeCOVID-19</v>
      </c>
      <c r="C21" s="3" t="str">
        <f ca="1">IFERROR(__xludf.DUMMYFUNCTION("""COMPUTED_VALUE"""),"SCELC Library Consortium
jason@scelc.org")</f>
        <v>SCELC Library Consortium
jason@scelc.org</v>
      </c>
      <c r="D21" s="7">
        <f ca="1">IFERROR(__xludf.DUMMYFUNCTION("""COMPUTED_VALUE"""),43906)</f>
        <v>43906</v>
      </c>
      <c r="E21" s="1" t="str">
        <f ca="1">IFERROR(__xludf.DUMMYFUNCTION("""COMPUTED_VALUE"""),"Lookup Specifics")</f>
        <v>Lookup Specifics</v>
      </c>
      <c r="F21" s="5" t="str">
        <f ca="1">IFERROR(__xludf.DUMMYFUNCTION("""COMPUTED_VALUE"""),"")</f>
        <v/>
      </c>
    </row>
    <row r="22" spans="1:6" ht="15.75" customHeight="1" x14ac:dyDescent="0.25">
      <c r="A22" s="4" t="str">
        <f ca="1">IFERROR(__xludf.DUMMYFUNCTION("""COMPUTED_VALUE"""),"Vital Source")</f>
        <v>Vital Source</v>
      </c>
      <c r="B22" s="2" t="str">
        <f ca="1">IFERROR(__xludf.DUMMYFUNCTION("""COMPUTED_VALUE"""),"VitalSource and Publishers to Provide Free Access to eTextbooks to Students Affected by COVID-19 Campus Closures https://www.businesswire.com/news/home/20200316005263/en/VitalSource-Publishers-Provide-Free-Access-eTextbooks-Students")</f>
        <v>VitalSource and Publishers to Provide Free Access to eTextbooks to Students Affected by COVID-19 Campus Closures https://www.businesswire.com/news/home/20200316005263/en/VitalSource-Publishers-Provide-Free-Access-eTextbooks-Students</v>
      </c>
      <c r="C22" s="3" t="str">
        <f ca="1">IFERROR(__xludf.DUMMYFUNCTION("""COMPUTED_VALUE"""),"Sharla Lair LYRASIS")</f>
        <v>Sharla Lair LYRASIS</v>
      </c>
      <c r="D22" s="7">
        <f ca="1">IFERROR(__xludf.DUMMYFUNCTION("""COMPUTED_VALUE"""),43906)</f>
        <v>43906</v>
      </c>
      <c r="E22" s="1" t="str">
        <f ca="1">IFERROR(__xludf.DUMMYFUNCTION("""COMPUTED_VALUE"""),"Lookup Specifics")</f>
        <v>Lookup Specifics</v>
      </c>
      <c r="F22" s="5" t="str">
        <f ca="1">IFERROR(__xludf.DUMMYFUNCTION("""COMPUTED_VALUE"""),"")</f>
        <v/>
      </c>
    </row>
    <row r="23" spans="1:6" ht="15.75" customHeight="1" x14ac:dyDescent="0.25">
      <c r="A23" s="4" t="str">
        <f ca="1">IFERROR(__xludf.DUMMYFUNCTION("""COMPUTED_VALUE"""),"Cengage")</f>
        <v>Cengage</v>
      </c>
      <c r="B23" s="2" t="str">
        <f ca="1">IFERROR(__xludf.DUMMYFUNCTION("""COMPUTED_VALUE"""),"For US colleges experiencing unplanned, mid-semester impacts due to COVID-19, Cengage is offering students free access to all our digital platforms and 14,000 ebooks through Cengage Unlimited, for the remainder of this semester. https://www.cengage.com/he"&amp;"lp/covid-19/covid-19.html; LINK TO FACULTY-FACING FORM to ""be connected with a Cengage representative... [for] ...more information on how Cengage can help support student access to course materials during this term and provide services to transition to o"&amp;"nline teaching"" https://info.cengage.com/LP=5086")</f>
        <v>For US colleges experiencing unplanned, mid-semester impacts due to COVID-19, Cengage is offering students free access to all our digital platforms and 14,000 ebooks through Cengage Unlimited, for the remainder of this semester. https://www.cengage.com/help/covid-19/covid-19.html; LINK TO FACULTY-FACING FORM to "be connected with a Cengage representative... [for] ...more information on how Cengage can help support student access to course materials during this term and provide services to transition to online teaching" https://info.cengage.com/LP=5086</v>
      </c>
      <c r="C23" s="3" t="str">
        <f ca="1">IFERROR(__xludf.DUMMYFUNCTION("""COMPUTED_VALUE"""),"SCELC Library Consortium
jason@scelc.org")</f>
        <v>SCELC Library Consortium
jason@scelc.org</v>
      </c>
      <c r="D23" s="7">
        <f ca="1">IFERROR(__xludf.DUMMYFUNCTION("""COMPUTED_VALUE"""),43907)</f>
        <v>43907</v>
      </c>
      <c r="E23" s="1" t="str">
        <f ca="1">IFERROR(__xludf.DUMMYFUNCTION("""COMPUTED_VALUE"""),"Lookup Specifics")</f>
        <v>Lookup Specifics</v>
      </c>
      <c r="F23" s="5" t="str">
        <f ca="1">IFERROR(__xludf.DUMMYFUNCTION("""COMPUTED_VALUE"""),"")</f>
        <v/>
      </c>
    </row>
    <row r="24" spans="1:6" ht="15.75" customHeight="1" x14ac:dyDescent="0.25">
      <c r="A24" s="4" t="str">
        <f ca="1">IFERROR(__xludf.DUMMYFUNCTION("""COMPUTED_VALUE"""),"Redshelf")</f>
        <v>Redshelf</v>
      </c>
      <c r="B24" s="2" t="str">
        <f ca="1">IFERROR(__xludf.DUMMYFUNCTION("""COMPUTED_VALUE"""),"RedShelf Responds: Providing students simple access to eBooks during complicated times, In collaboration with the academic publishing community, RedShelf is providing students with free, convenient access to their learning materials. Students need to crea"&amp;"te a free log-in to access. https://studentresponse.redshelf.com/ ")</f>
        <v xml:space="preserve">RedShelf Responds: Providing students simple access to eBooks during complicated times, In collaboration with the academic publishing community, RedShelf is providing students with free, convenient access to their learning materials. Students need to create a free log-in to access. https://studentresponse.redshelf.com/ </v>
      </c>
      <c r="C24" s="3" t="str">
        <f ca="1">IFERROR(__xludf.DUMMYFUNCTION("""COMPUTED_VALUE"""),"Butler University Library 
jraye@butler.edu")</f>
        <v>Butler University Library 
jraye@butler.edu</v>
      </c>
      <c r="D24" s="7">
        <f ca="1">IFERROR(__xludf.DUMMYFUNCTION("""COMPUTED_VALUE"""),43907)</f>
        <v>43907</v>
      </c>
      <c r="E24" s="1" t="str">
        <f ca="1">IFERROR(__xludf.DUMMYFUNCTION("""COMPUTED_VALUE"""),"Lookup Specifics")</f>
        <v>Lookup Specifics</v>
      </c>
      <c r="F24" s="5" t="str">
        <f ca="1">IFERROR(__xludf.DUMMYFUNCTION("""COMPUTED_VALUE"""),"")</f>
        <v/>
      </c>
    </row>
    <row r="25" spans="1:6" ht="175" x14ac:dyDescent="0.25">
      <c r="A25" s="4" t="str">
        <f ca="1">IFERROR(__xludf.DUMMYFUNCTION("""COMPUTED_VALUE"""),"Cambridge University Press")</f>
        <v>Cambridge University Press</v>
      </c>
      <c r="B25" s="10" t="str">
        <f ca="1">IFERROR(__xludf.DUMMYFUNCTION("""COMPUTED_VALUE"""),"https://www.cambridge.org/us/academic/covid-19-resources-and-information/information-librarians
We are pleased to offer a collection of over 2,000 ebooks hosted on Cambridge Core, for university libraries and their associated students and faculty. This co"&amp;"llection includes our HTML textbooks, Cambridge Histories, Cambridge Companions, and Cambridge Elements – please visit the linked homepages for more information and title lists. This offer is open to everyone, regardless of whether access was previously p"&amp;"urchased, until the end of May 2020.
Please note that if your institution already has access to one of our free reference collections then this should have automatically been updated to reflect the full extent of this offer.
To check your access, or for"&amp;" assistance in setting up this offer at your institution, university librarians should contact us at one of the following email addresses:
In the Americas: online@cambridge.org
In Australia and New Zealand: enquiries@cambridge.edu.au
In the United Kingdom"&amp;" or Rest of World: library.sales@cambridge.org")</f>
        <v>https://www.cambridge.org/us/academic/covid-19-resources-and-information/information-librarians
We are pleased to offer a collection of over 2,000 ebooks hosted on Cambridge Core, for university libraries and their associated students and faculty. This collection includes our HTML textbooks, Cambridge Histories, Cambridge Companions, and Cambridge Elements – please visit the linked homepages for more information and title lists. This offer is open to everyone, regardless of whether access was previously purchased, until the end of May 2020.
Please note that if your institution already has access to one of our free reference collections then this should have automatically been updated to reflect the full extent of this offer.
To check your access, or for assistance in setting up this offer at your institution, university librarians should contact us at one of the following email addresses:
In the Americas: online@cambridge.org
In Australia and New Zealand: enquiries@cambridge.edu.au
In the United Kingdom or Rest of World: library.sales@cambridge.org</v>
      </c>
      <c r="C25" s="3" t="str">
        <f ca="1">IFERROR(__xludf.DUMMYFUNCTION("""COMPUTED_VALUE"""),"SCELC Library Consortium
jason@scelc.org")</f>
        <v>SCELC Library Consortium
jason@scelc.org</v>
      </c>
      <c r="D25" s="11">
        <f ca="1">IFERROR(__xludf.DUMMYFUNCTION("""COMPUTED_VALUE"""),43920)</f>
        <v>43920</v>
      </c>
      <c r="E25" s="12" t="str">
        <f ca="1">IFERROR(__xludf.DUMMYFUNCTION("""COMPUTED_VALUE"""),"Lookup Specifics")</f>
        <v>Lookup Specifics</v>
      </c>
      <c r="F25" s="13" t="str">
        <f ca="1">IFERROR(__xludf.DUMMYFUNCTION("""COMPUTED_VALUE"""),"")</f>
        <v/>
      </c>
    </row>
    <row r="26" spans="1:6" ht="200" x14ac:dyDescent="0.25">
      <c r="A26" s="4" t="str">
        <f ca="1">IFERROR(__xludf.DUMMYFUNCTION("""COMPUTED_VALUE"""),"Duke University Press")</f>
        <v>Duke University Press</v>
      </c>
      <c r="B26" s="10" t="str">
        <f ca="1">IFERROR(__xludf.DUMMYFUNCTION("""COMPUTED_VALUE"""),"They are extending grace access for content hosted on both of their platforms (read.dukeupress.edu and projecteuclid.org) through the end of May for their existing customers.
As courses transition to online, we can provide 90 days of complimentary electr"&amp;"onic access to course materials. Contact orders@dukeupress.edu. 
They are partnering with EBSCO and ProQuest to allow multi-user access through mid-June to all e-books purchased on their platforms. Read ProQuest’s statement: https://www.proquest.com/blog"&amp;"/pqblog/2020/Coronavirus-Impacted-Libraries-Get-Unlimited-Access-to-Ebook-Central.html
They would like to share their reading lists (https://www.dukeupress.edu/Explore-Subjects/Syllabi), which offer free content (included is Navigating the Threat of Pand"&amp;"emic - https://www.dukeupress.edu/Explore-Subjects/Syllabi/Navigating-Pandemic-Syllabus).
They provide remote access options on both of their content platforms. If you would like to set this up, please contact their Customer Relations team at orders@duke"&amp;"upress.edu.")</f>
        <v>They are extending grace access for content hosted on both of their platforms (read.dukeupress.edu and projecteuclid.org) through the end of May for their existing customers.
As courses transition to online, we can provide 90 days of complimentary electronic access to course materials. Contact orders@dukeupress.edu. 
They are partnering with EBSCO and ProQuest to allow multi-user access through mid-June to all e-books purchased on their platforms. Read ProQuest’s statement: https://www.proquest.com/blog/pqblog/2020/Coronavirus-Impacted-Libraries-Get-Unlimited-Access-to-Ebook-Central.html
They would like to share their reading lists (https://www.dukeupress.edu/Explore-Subjects/Syllabi), which offer free content (included is Navigating the Threat of Pandemic - https://www.dukeupress.edu/Explore-Subjects/Syllabi/Navigating-Pandemic-Syllabus).
They provide remote access options on both of their content platforms. If you would like to set this up, please contact their Customer Relations team at orders@dukeupress.edu.</v>
      </c>
      <c r="C26" s="3" t="str">
        <f ca="1">IFERROR(__xludf.DUMMYFUNCTION("""COMPUTED_VALUE"""),"Sharla Lair LYRASIS")</f>
        <v>Sharla Lair LYRASIS</v>
      </c>
      <c r="D26" s="11">
        <f ca="1">IFERROR(__xludf.DUMMYFUNCTION("""COMPUTED_VALUE"""),43908)</f>
        <v>43908</v>
      </c>
      <c r="E26" s="14" t="str">
        <f ca="1">IFERROR(__xludf.DUMMYFUNCTION("""COMPUTED_VALUE"""),"Lookup Specifics")</f>
        <v>Lookup Specifics</v>
      </c>
      <c r="F26" s="15" t="str">
        <f ca="1">IFERROR(__xludf.DUMMYFUNCTION("""COMPUTED_VALUE"""),"https://www.dukeupress.edu/Legal/Privacy")</f>
        <v>https://www.dukeupress.edu/Legal/Privacy</v>
      </c>
    </row>
    <row r="27" spans="1:6" ht="75" x14ac:dyDescent="0.25">
      <c r="A27" s="4" t="str">
        <f ca="1">IFERROR(__xludf.DUMMYFUNCTION("""COMPUTED_VALUE"""),"University of Michigan Press")</f>
        <v>University of Michigan Press</v>
      </c>
      <c r="B27" s="10" t="str">
        <f ca="1">IFERROR(__xludf.DUMMYFUNCTION("""COMPUTED_VALUE"""),"University of Michigan Press will make all content in the University of Michigan Press Ebook Collection (UMP EBC) free-to-read for the remainder of the academic term.
Beginning on Friday, March 20, access restrictions will be removed for all 1,150+ title"&amp;"s in the UMP EBC until the end of April 2020. The UMP EBC contains the Press’s scholarly output published since 2012 as well as new books and older titles as they are digitized. Note they will be free-to-read, not to download, during this time.
")</f>
        <v xml:space="preserve">University of Michigan Press will make all content in the University of Michigan Press Ebook Collection (UMP EBC) free-to-read for the remainder of the academic term.
Beginning on Friday, March 20, access restrictions will be removed for all 1,150+ titles in the UMP EBC until the end of April 2020. The UMP EBC contains the Press’s scholarly output published since 2012 as well as new books and older titles as they are digitized. Note they will be free-to-read, not to download, during this time.
</v>
      </c>
      <c r="C27" s="3" t="str">
        <f ca="1">IFERROR(__xludf.DUMMYFUNCTION("""COMPUTED_VALUE"""),"Sharla Lair LYRASIS")</f>
        <v>Sharla Lair LYRASIS</v>
      </c>
      <c r="D27" s="11" t="str">
        <f ca="1">IFERROR(__xludf.DUMMYFUNCTION("""COMPUTED_VALUE"""),"3.18.2020")</f>
        <v>3.18.2020</v>
      </c>
      <c r="E27" s="12" t="str">
        <f ca="1">IFERROR(__xludf.DUMMYFUNCTION("""COMPUTED_VALUE"""),"Lookup Specifics")</f>
        <v>Lookup Specifics</v>
      </c>
      <c r="F27" s="13" t="str">
        <f ca="1">IFERROR(__xludf.DUMMYFUNCTION("""COMPUTED_VALUE"""),"")</f>
        <v/>
      </c>
    </row>
    <row r="28" spans="1:6" ht="62.5" x14ac:dyDescent="0.25">
      <c r="A28" s="4" t="str">
        <f ca="1">IFERROR(__xludf.DUMMYFUNCTION("""COMPUTED_VALUE"""),"MIT Press")</f>
        <v>MIT Press</v>
      </c>
      <c r="B28" s="10" t="str">
        <f ca="1">IFERROR(__xludf.DUMMYFUNCTION("""COMPUTED_VALUE"""),"The MIT Press is offering libraries complimentary access to its catalog of eBooks on MIT Press Direct through the end of May 2020 to support faculty and students who are working and learning remotely. To receive free access to more than 2,770 MIT Press eB"&amp;"ooks via MIT Press Direct, librarians may complete this webform: https://docs.google.com/forms/d/e/1FAIpQLSeCLefaplCjng_6lHQVRigNvzjZCPMKaRHQqPqdE9A5T0WkoA/viewform?usp=sf_link or reach out to Emily Farrell, Library Sales Executive, efarre@mit.edu.
 ")</f>
        <v xml:space="preserve">The MIT Press is offering libraries complimentary access to its catalog of eBooks on MIT Press Direct through the end of May 2020 to support faculty and students who are working and learning remotely. To receive free access to more than 2,770 MIT Press eBooks via MIT Press Direct, librarians may complete this webform: https://docs.google.com/forms/d/e/1FAIpQLSeCLefaplCjng_6lHQVRigNvzjZCPMKaRHQqPqdE9A5T0WkoA/viewform?usp=sf_link or reach out to Emily Farrell, Library Sales Executive, efarre@mit.edu.
 </v>
      </c>
      <c r="C28" s="3" t="str">
        <f ca="1">IFERROR(__xludf.DUMMYFUNCTION("""COMPUTED_VALUE"""),"Sharla Lair LYRASIS")</f>
        <v>Sharla Lair LYRASIS</v>
      </c>
      <c r="D28" s="11" t="str">
        <f ca="1">IFERROR(__xludf.DUMMYFUNCTION("""COMPUTED_VALUE"""),"3.18.2020")</f>
        <v>3.18.2020</v>
      </c>
      <c r="E28" s="12" t="str">
        <f ca="1">IFERROR(__xludf.DUMMYFUNCTION("""COMPUTED_VALUE"""),"Lookup Specifics")</f>
        <v>Lookup Specifics</v>
      </c>
      <c r="F28" s="13" t="str">
        <f ca="1">IFERROR(__xludf.DUMMYFUNCTION("""COMPUTED_VALUE"""),"")</f>
        <v/>
      </c>
    </row>
    <row r="29" spans="1:6" ht="37.5" x14ac:dyDescent="0.25">
      <c r="A29" s="4" t="str">
        <f ca="1">IFERROR(__xludf.DUMMYFUNCTION("""COMPUTED_VALUE"""),"Ohio State University Press")</f>
        <v>Ohio State University Press</v>
      </c>
      <c r="B29" s="10" t="str">
        <f ca="1">IFERROR(__xludf.DUMMYFUNCTION("""COMPUTED_VALUE"""),"For the duration of this crisis, all Ohio State University Press monographs, and the linguistics textbook language files, will be open and free to use through the Ohio State University Libraries’ Institutional Repository, The Knowledge Bank (https://kb.os"&amp;"u.edu/).")</f>
        <v>For the duration of this crisis, all Ohio State University Press monographs, and the linguistics textbook language files, will be open and free to use through the Ohio State University Libraries’ Institutional Repository, The Knowledge Bank (https://kb.osu.edu/).</v>
      </c>
      <c r="C29" s="3" t="str">
        <f ca="1">IFERROR(__xludf.DUMMYFUNCTION("""COMPUTED_VALUE"""),"Sharla Lair LYRASIS")</f>
        <v>Sharla Lair LYRASIS</v>
      </c>
      <c r="D29" s="11">
        <f ca="1">IFERROR(__xludf.DUMMYFUNCTION("""COMPUTED_VALUE"""),43908)</f>
        <v>43908</v>
      </c>
      <c r="E29" s="12" t="str">
        <f ca="1">IFERROR(__xludf.DUMMYFUNCTION("""COMPUTED_VALUE"""),"Lookup Specifics")</f>
        <v>Lookup Specifics</v>
      </c>
      <c r="F29" s="13" t="str">
        <f ca="1">IFERROR(__xludf.DUMMYFUNCTION("""COMPUTED_VALUE"""),"")</f>
        <v/>
      </c>
    </row>
    <row r="30" spans="1:6" ht="37.5" x14ac:dyDescent="0.25">
      <c r="A30" s="4" t="str">
        <f ca="1">IFERROR(__xludf.DUMMYFUNCTION("""COMPUTED_VALUE"""),"Project MUSE")</f>
        <v>Project MUSE</v>
      </c>
      <c r="B30" s="10" t="str">
        <f ca="1">IFERROR(__xludf.DUMMYFUNCTION("""COMPUTED_VALUE"""),"Project MUSE is pleased to support its participating publishers in making scholarly content temporarily available for free on their platform. MUSE expects to announce additional participants and will continually update the list of publishers offering free"&amp;" access to content on this webpage: https://about.muse.jhu.edu/resources/freeresourcescovid19/. ")</f>
        <v xml:space="preserve">Project MUSE is pleased to support its participating publishers in making scholarly content temporarily available for free on their platform. MUSE expects to announce additional participants and will continually update the list of publishers offering free access to content on this webpage: https://about.muse.jhu.edu/resources/freeresourcescovid19/. </v>
      </c>
      <c r="C30" s="3" t="str">
        <f ca="1">IFERROR(__xludf.DUMMYFUNCTION("""COMPUTED_VALUE"""),"Sharla Lair LYRASIS")</f>
        <v>Sharla Lair LYRASIS</v>
      </c>
      <c r="D30" s="11">
        <f ca="1">IFERROR(__xludf.DUMMYFUNCTION("""COMPUTED_VALUE"""),43908)</f>
        <v>43908</v>
      </c>
      <c r="E30" s="12" t="str">
        <f ca="1">IFERROR(__xludf.DUMMYFUNCTION("""COMPUTED_VALUE"""),"Lookup Specifics")</f>
        <v>Lookup Specifics</v>
      </c>
      <c r="F30" s="13" t="str">
        <f ca="1">IFERROR(__xludf.DUMMYFUNCTION("""COMPUTED_VALUE"""),"")</f>
        <v/>
      </c>
    </row>
    <row r="31" spans="1:6" ht="37.5" x14ac:dyDescent="0.25">
      <c r="A31" s="4" t="str">
        <f ca="1">IFERROR(__xludf.DUMMYFUNCTION("""COMPUTED_VALUE"""),"Cochrane")</f>
        <v>Cochrane</v>
      </c>
      <c r="B31" s="10" t="str">
        <f ca="1">IFERROR(__xludf.DUMMYFUNCTION("""COMPUTED_VALUE"""),"From next week the Cochrane Library will be temporarily unrestricted for everyone in every country of the world. Cochrane is taking this unprecedented move to ensure that all Cochrane evidence is accessible for all those involved in combating the pandemic"&amp;" and its effects on public health.")</f>
        <v>From next week the Cochrane Library will be temporarily unrestricted for everyone in every country of the world. Cochrane is taking this unprecedented move to ensure that all Cochrane evidence is accessible for all those involved in combating the pandemic and its effects on public health.</v>
      </c>
      <c r="C31" s="3" t="str">
        <f ca="1">IFERROR(__xludf.DUMMYFUNCTION("""COMPUTED_VALUE"""),"from Cochrane Admin post shared via Expertsearching listserv")</f>
        <v>from Cochrane Admin post shared via Expertsearching listserv</v>
      </c>
      <c r="D31" s="11">
        <f ca="1">IFERROR(__xludf.DUMMYFUNCTION("""COMPUTED_VALUE"""),43908)</f>
        <v>43908</v>
      </c>
      <c r="E31" s="12" t="str">
        <f ca="1">IFERROR(__xludf.DUMMYFUNCTION("""COMPUTED_VALUE"""),"Lookup Specifics")</f>
        <v>Lookup Specifics</v>
      </c>
      <c r="F31" s="15" t="str">
        <f ca="1">IFERROR(__xludf.DUMMYFUNCTION("""COMPUTED_VALUE"""),"https://www.wiley.com/en-gb/privacy")</f>
        <v>https://www.wiley.com/en-gb/privacy</v>
      </c>
    </row>
    <row r="32" spans="1:6" ht="37.5" x14ac:dyDescent="0.25">
      <c r="A32" s="4" t="str">
        <f ca="1">IFERROR(__xludf.DUMMYFUNCTION("""COMPUTED_VALUE"""),"American Medical Association")</f>
        <v>American Medical Association</v>
      </c>
      <c r="B32" s="10" t="str">
        <f ca="1">IFERROR(__xludf.DUMMYFUNCTION("""COMPUTED_VALUE"""),"JAMA and related AMA journals related information is now open access at: https://jamanetwork.com/journals/jama/pages/coronavirus-alert")</f>
        <v>JAMA and related AMA journals related information is now open access at: https://jamanetwork.com/journals/jama/pages/coronavirus-alert</v>
      </c>
      <c r="C32" s="3" t="str">
        <f ca="1">IFERROR(__xludf.DUMMYFUNCTION("""COMPUTED_VALUE"""),"Linda Wobbe SCELC")</f>
        <v>Linda Wobbe SCELC</v>
      </c>
      <c r="D32" s="11">
        <f ca="1">IFERROR(__xludf.DUMMYFUNCTION("""COMPUTED_VALUE"""),43908)</f>
        <v>43908</v>
      </c>
      <c r="E32" s="12" t="str">
        <f ca="1">IFERROR(__xludf.DUMMYFUNCTION("""COMPUTED_VALUE"""),"Lookup Specifics")</f>
        <v>Lookup Specifics</v>
      </c>
      <c r="F32" s="15" t="str">
        <f ca="1">IFERROR(__xludf.DUMMYFUNCTION("""COMPUTED_VALUE"""),"https://jamanetwork.com/pages/privacy-policy")</f>
        <v>https://jamanetwork.com/pages/privacy-policy</v>
      </c>
    </row>
    <row r="33" spans="1:6" ht="75" x14ac:dyDescent="0.25">
      <c r="A33" s="4" t="str">
        <f ca="1">IFERROR(__xludf.DUMMYFUNCTION("""COMPUTED_VALUE"""),"Wolters Kluwer")</f>
        <v>Wolters Kluwer</v>
      </c>
      <c r="B33" s="10" t="str">
        <f ca="1">IFERROR(__xludf.DUMMYFUNCTION("""COMPUTED_VALUE"""),"To help, Wolters Kluwer has a dedicated resource page where you can find a range of curated information and resources from our product portfolio that we have opened access to for the medical community during this time. We’re updating these pages regularly"&amp;" with new resources, so please bookmark the links and share with your colleagues and patrons. Wolters Kluwer COVID-19 (Coronavirus) Resources: http://healthclarity.wolterskluwer.com/coronavirus-resources.html
Ovid's COVID-19 Toolkit for Clinicians: http:/"&amp;"/tools.ovid.com/coronavirus/? UptoDate product related information is now open access at: https://www.uptodate.com/contents/coronavirus-disease-2019-covid-19#H4014462337")</f>
        <v>To help, Wolters Kluwer has a dedicated resource page where you can find a range of curated information and resources from our product portfolio that we have opened access to for the medical community during this time. We’re updating these pages regularly with new resources, so please bookmark the links and share with your colleagues and patrons. Wolters Kluwer COVID-19 (Coronavirus) Resources: http://healthclarity.wolterskluwer.com/coronavirus-resources.html
Ovid's COVID-19 Toolkit for Clinicians: http://tools.ovid.com/coronavirus/? UptoDate product related information is now open access at: https://www.uptodate.com/contents/coronavirus-disease-2019-covid-19#H4014462337</v>
      </c>
      <c r="C33" s="3" t="str">
        <f ca="1">IFERROR(__xludf.DUMMYFUNCTION("""COMPUTED_VALUE"""),"Linda Wobbe SCELC")</f>
        <v>Linda Wobbe SCELC</v>
      </c>
      <c r="D33" s="11">
        <f ca="1">IFERROR(__xludf.DUMMYFUNCTION("""COMPUTED_VALUE"""),43908)</f>
        <v>43908</v>
      </c>
      <c r="E33" s="12" t="str">
        <f ca="1">IFERROR(__xludf.DUMMYFUNCTION("""COMPUTED_VALUE"""),"Lookup Specifics")</f>
        <v>Lookup Specifics</v>
      </c>
      <c r="F33" s="15" t="str">
        <f ca="1">IFERROR(__xludf.DUMMYFUNCTION("""COMPUTED_VALUE"""),"https://wolterskluwer.com/privacy-cookies.html")</f>
        <v>https://wolterskluwer.com/privacy-cookies.html</v>
      </c>
    </row>
    <row r="34" spans="1:6" ht="112.5" x14ac:dyDescent="0.25">
      <c r="A34" s="4" t="str">
        <f ca="1">IFERROR(__xludf.DUMMYFUNCTION("""COMPUTED_VALUE"""),"JSTOR")</f>
        <v>JSTOR</v>
      </c>
      <c r="B34" s="10" t="str">
        <f ca="1">IFERROR(__xludf.DUMMYFUNCTION("""COMPUTED_VALUE"""),"First, we are expediting the release of a new set of 26 journal archives in Public Health https://about.jstor.org/l/public-health/, making them openly accessible through June 30, 2020. For participating academic institutions that currently license some, b"&amp;"ut not all, JSTOR Archive and Primary Source collections, we will turn on access to all unlicensed collections at no cost.
We are working with publishers to make more than 20,000 books available at no charge for JSTOR-participating academic institutions a"&amp;"nd secondary schools that do not participate in our books program. The number of books available through this effort is growing daily as more publishers opt in.
Further details about this program, participating publishers, and links to other useful resour"&amp;"ces can be found at https://about.jstor.org/covid19/")</f>
        <v>First, we are expediting the release of a new set of 26 journal archives in Public Health https://about.jstor.org/l/public-health/, making them openly accessible through June 30, 2020. For participating academic institutions that currently license some, but not all, JSTOR Archive and Primary Source collections, we will turn on access to all unlicensed collections at no cost.
We are working with publishers to make more than 20,000 books available at no charge for JSTOR-participating academic institutions and secondary schools that do not participate in our books program. The number of books available through this effort is growing daily as more publishers opt in.
Further details about this program, participating publishers, and links to other useful resources can be found at https://about.jstor.org/covid19/</v>
      </c>
      <c r="C34" s="3" t="str">
        <f ca="1">IFERROR(__xludf.DUMMYFUNCTION("""COMPUTED_VALUE"""),"Linda Wobbe SCELC")</f>
        <v>Linda Wobbe SCELC</v>
      </c>
      <c r="D34" s="11">
        <f ca="1">IFERROR(__xludf.DUMMYFUNCTION("""COMPUTED_VALUE"""),43908)</f>
        <v>43908</v>
      </c>
      <c r="E34" s="12" t="str">
        <f ca="1">IFERROR(__xludf.DUMMYFUNCTION("""COMPUTED_VALUE"""),"Lookup Specifics")</f>
        <v>Lookup Specifics</v>
      </c>
      <c r="F34" s="15" t="str">
        <f ca="1">IFERROR(__xludf.DUMMYFUNCTION("""COMPUTED_VALUE"""),"https://www.ithaka.org/privacypolicy")</f>
        <v>https://www.ithaka.org/privacypolicy</v>
      </c>
    </row>
    <row r="35" spans="1:6" ht="50" x14ac:dyDescent="0.25">
      <c r="A35" s="4" t="str">
        <f ca="1">IFERROR(__xludf.DUMMYFUNCTION("""COMPUTED_VALUE"""),"Emerald")</f>
        <v>Emerald</v>
      </c>
      <c r="B35" s="10" t="str">
        <f ca="1">IFERROR(__xludf.DUMMYFUNCTION("""COMPUTED_VALUE"""),"We do have some content related to Coronavirus and epidemics management in general. These resources are now, and have been, freely available to everyone, and are most easily found at: https://www.emeraldgrouppublishing.com/promo/coronavirus.htm")</f>
        <v>We do have some content related to Coronavirus and epidemics management in general. These resources are now, and have been, freely available to everyone, and are most easily found at: https://www.emeraldgrouppublishing.com/promo/coronavirus.htm</v>
      </c>
      <c r="C35" s="3" t="str">
        <f ca="1">IFERROR(__xludf.DUMMYFUNCTION("""COMPUTED_VALUE"""),"Linda Wobbe SCELC")</f>
        <v>Linda Wobbe SCELC</v>
      </c>
      <c r="D35" s="11">
        <f ca="1">IFERROR(__xludf.DUMMYFUNCTION("""COMPUTED_VALUE"""),43908)</f>
        <v>43908</v>
      </c>
      <c r="E35" s="12" t="str">
        <f ca="1">IFERROR(__xludf.DUMMYFUNCTION("""COMPUTED_VALUE"""),"Lookup Specifics")</f>
        <v>Lookup Specifics</v>
      </c>
      <c r="F35" s="15" t="str">
        <f ca="1">IFERROR(__xludf.DUMMYFUNCTION("""COMPUTED_VALUE"""),"https://www.emeraldgrouppublishing.com/about/policies/privacy.htm")</f>
        <v>https://www.emeraldgrouppublishing.com/about/policies/privacy.htm</v>
      </c>
    </row>
    <row r="36" spans="1:6" ht="325" x14ac:dyDescent="0.25">
      <c r="A36" s="4" t="str">
        <f ca="1">IFERROR(__xludf.DUMMYFUNCTION("""COMPUTED_VALUE"""),"Taylor &amp; Francis")</f>
        <v>Taylor &amp; Francis</v>
      </c>
      <c r="B36" s="10" t="str">
        <f ca="1">IFERROR(__xludf.DUMMYFUNCTION("""COMPUTED_VALUE"""),"Providing free access to vital research. We are supporting researchers, journals and funders to ensure that all research findings and data relevant to COVID-19 are shared rapidly and openly to inform the public health response and ultimately help save liv"&amp;"es.We have centralised access to relevant Taylor &amp; Francis journal articles and book chapters through www.taylorandfrancis.com/coronavirus.
F1000Research has created a dedicated Gateway to showcase research published in this area, including preprints, to"&amp;" ensure immediate access to the latest research developments https://f1000research.com/gateways/disease_outbreaks/coronavirus
As signatories to NIH’s Access to Research initiative, along with the Wellcome Trust’s coordinated action on sharing research da"&amp;"ta and findings relevant to the outbreak, we have been working with WHO to ensure this content is clearly signposted. We commend the OSTP’s initiative to centralise resources on PubMed and are currently working with them to ensure rapid human and machine-"&amp;"readable access (where possible) to research articles and data through the NLM’s Litcovid portal.
Prioritising rapid publication of COVID-19 materials: We are working with our editors to prioritise peer review of all relevant research. We are also focusi"&amp;"ng our workflow to ensure that materials related to the outbreak are fast-tracked through the publication process once they are approved. Editors are proactively encouraging authors to publish and share the data that forms the basis of their research in l"&amp;"ine with FAIR data principles, and our own data policies.
Supporting remote learning: We do not anticipate any disruption to service on our Taylor &amp; Francis Online and Taylor &amp; Francis Ebooks platforms. Our staff are on hand to help if users are experien"&amp;"cing any difficulties with remote access, and we will ensure that guidance on how to do this remains updated.
We are proud to be working with several partners to support access to our ebooks and etextbooks.  For students who are no longer able to access "&amp;"core textbooks on campus because their university has closed, we are providing free access to ebooks through our partnerships with VitalSource, Kortext (in conjunction with JISC), and Red Shelf through the remainder of the Spring 2020 semester.
We have t"&amp;"emporarily stopped offering print inspection copies, print desk copies, and print media review copies. We are committed to ensuring customers have access to books and given the increasing uncertainty on print delivery, our ebook option for these services "&amp;"is our most reliable delivery and access option.")</f>
        <v>Providing free access to vital research. We are supporting researchers, journals and funders to ensure that all research findings and data relevant to COVID-19 are shared rapidly and openly to inform the public health response and ultimately help save lives.We have centralised access to relevant Taylor &amp; Francis journal articles and book chapters through www.taylorandfrancis.com/coronavirus.
F1000Research has created a dedicated Gateway to showcase research published in this area, including preprints, to ensure immediate access to the latest research developments https://f1000research.com/gateways/disease_outbreaks/coronavirus
As signatories to NIH’s Access to Research initiative, along with the Wellcome Trust’s coordinated action on sharing research data and findings relevant to the outbreak, we have been working with WHO to ensure this content is clearly signposted. We commend the OSTP’s initiative to centralise resources on PubMed and are currently working with them to ensure rapid human and machine-readable access (where possible) to research articles and data through the NLM’s Litcovid portal.
Prioritising rapid publication of COVID-19 materials: We are working with our editors to prioritise peer review of all relevant research. We are also focusing our workflow to ensure that materials related to the outbreak are fast-tracked through the publication process once they are approved. Editors are proactively encouraging authors to publish and share the data that forms the basis of their research in line with FAIR data principles, and our own data policies.
Supporting remote learning: We do not anticipate any disruption to service on our Taylor &amp; Francis Online and Taylor &amp; Francis Ebooks platforms. Our staff are on hand to help if users are experiencing any difficulties with remote access, and we will ensure that guidance on how to do this remains updated.
We are proud to be working with several partners to support access to our ebooks and etextbooks.  For students who are no longer able to access core textbooks on campus because their university has closed, we are providing free access to ebooks through our partnerships with VitalSource, Kortext (in conjunction with JISC), and Red Shelf through the remainder of the Spring 2020 semester.
We have temporarily stopped offering print inspection copies, print desk copies, and print media review copies. We are committed to ensuring customers have access to books and given the increasing uncertainty on print delivery, our ebook option for these services is our most reliable delivery and access option.</v>
      </c>
      <c r="C36" s="3" t="str">
        <f ca="1">IFERROR(__xludf.DUMMYFUNCTION("""COMPUTED_VALUE"""),"Anina Koeppli, CSAL")</f>
        <v>Anina Koeppli, CSAL</v>
      </c>
      <c r="D36" s="11">
        <f ca="1">IFERROR(__xludf.DUMMYFUNCTION("""COMPUTED_VALUE"""),43917)</f>
        <v>43917</v>
      </c>
      <c r="E36" s="12" t="str">
        <f ca="1">IFERROR(__xludf.DUMMYFUNCTION("""COMPUTED_VALUE"""),"Lookup Specifics")</f>
        <v>Lookup Specifics</v>
      </c>
      <c r="F36" s="15" t="str">
        <f ca="1">IFERROR(__xludf.DUMMYFUNCTION("""COMPUTED_VALUE"""),"https://informa.com/privacy-policy/")</f>
        <v>https://informa.com/privacy-policy/</v>
      </c>
    </row>
    <row r="37" spans="1:6" ht="162.5" x14ac:dyDescent="0.25">
      <c r="A37" s="4" t="str">
        <f ca="1">IFERROR(__xludf.DUMMYFUNCTION("""COMPUTED_VALUE"""),"Springer Nature")</f>
        <v>Springer Nature</v>
      </c>
      <c r="B37" s="10" t="str">
        <f ca="1">IFERROR(__xludf.DUMMYFUNCTION("""COMPUTED_VALUE"""),"Remote access to Springer Nature content. To make remote access easier Springer Nature will soon keep users logged in for 90 days after their initial authentication. Publisher will keep the 90-day period under review and will update customers of any chang"&amp;"e. In parallel, publisher is exploring new methods of access and will be piloting Google Scholar Universal CASA for remote access across multiple devices. We have made available for free all relevant research we have published and continue to publish, and"&amp;" are strongly urging our authors submitting articles related to this emergency to share underlying datasets relating to the outbreak as rapidly and widely as possible. SpringerNature continues to work with global organisations to support the sharing of re"&amp;"levant research and data and are a signatory on the Wellcome Trust consensus statement, Sharing research data and findings relevant to the novel coronavirus (COVID-19) outbreak, as well as supporting the initiative from the White House Office of Science a"&amp;"nd Technology to make all relevant global research, and data, available in one place. Publisher also has a role to play providing good, fact-based journalistic and opinion content on this fast-moving public health issues in Nature (for researchers and res"&amp;"earch leaders) and Scientific American (for the broader public). 
 ")</f>
        <v>Remote access to Springer Nature content. To make remote access easier Springer Nature will soon keep users logged in for 90 days after their initial authentication. Publisher will keep the 90-day period under review and will update customers of any change. In parallel, publisher is exploring new methods of access and will be piloting Google Scholar Universal CASA for remote access across multiple devices. We have made available for free all relevant research we have published and continue to publish, and are strongly urging our authors submitting articles related to this emergency to share underlying datasets relating to the outbreak as rapidly and widely as possible. SpringerNature continues to work with global organisations to support the sharing of relevant research and data and are a signatory on the Wellcome Trust consensus statement, Sharing research data and findings relevant to the novel coronavirus (COVID-19) outbreak, as well as supporting the initiative from the White House Office of Science and Technology to make all relevant global research, and data, available in one place. Publisher also has a role to play providing good, fact-based journalistic and opinion content on this fast-moving public health issues in Nature (for researchers and research leaders) and Scientific American (for the broader public). 
 </v>
      </c>
      <c r="C37" s="3" t="str">
        <f ca="1">IFERROR(__xludf.DUMMYFUNCTION("""COMPUTED_VALUE"""),"Pim Slot SURFmarket")</f>
        <v>Pim Slot SURFmarket</v>
      </c>
      <c r="D37" s="11">
        <f ca="1">IFERROR(__xludf.DUMMYFUNCTION("""COMPUTED_VALUE"""),43909)</f>
        <v>43909</v>
      </c>
      <c r="E37" s="14" t="str">
        <f ca="1">IFERROR(__xludf.DUMMYFUNCTION("""COMPUTED_VALUE"""),"[This response does not include expanded access]")</f>
        <v>[This response does not include expanded access]</v>
      </c>
      <c r="F37" s="13" t="str">
        <f ca="1">IFERROR(__xludf.DUMMYFUNCTION("""COMPUTED_VALUE"""),"")</f>
        <v/>
      </c>
    </row>
    <row r="38" spans="1:6" ht="37.5" x14ac:dyDescent="0.25">
      <c r="A38" s="4" t="str">
        <f ca="1">IFERROR(__xludf.DUMMYFUNCTION("""COMPUTED_VALUE"""),"Karger")</f>
        <v>Karger</v>
      </c>
      <c r="B38" s="10" t="str">
        <f ca="1">IFERROR(__xludf.DUMMYFUNCTION("""COMPUTED_VALUE"""),"Karger is making all published Coronavirus / COVID-19 articles freely available until the end of 2020, in order to support current research initiatives and community health. To make them easy to find, they have been grouped in a “Coronavirus Topic Article"&amp;" Package”, which can be found through the following link:  https://www.karger.com/Tap/Home/278492")</f>
        <v>Karger is making all published Coronavirus / COVID-19 articles freely available until the end of 2020, in order to support current research initiatives and community health. To make them easy to find, they have been grouped in a “Coronavirus Topic Article Package”, which can be found through the following link:  https://www.karger.com/Tap/Home/278492</v>
      </c>
      <c r="C38" s="3" t="str">
        <f ca="1">IFERROR(__xludf.DUMMYFUNCTION("""COMPUTED_VALUE"""),"Pim Slot SURFmarket")</f>
        <v>Pim Slot SURFmarket</v>
      </c>
      <c r="D38" s="11">
        <f ca="1">IFERROR(__xludf.DUMMYFUNCTION("""COMPUTED_VALUE"""),43909)</f>
        <v>43909</v>
      </c>
      <c r="E38" s="12" t="str">
        <f ca="1">IFERROR(__xludf.DUMMYFUNCTION("""COMPUTED_VALUE"""),"Lookup Specifics")</f>
        <v>Lookup Specifics</v>
      </c>
      <c r="F38" s="15" t="str">
        <f ca="1">IFERROR(__xludf.DUMMYFUNCTION("""COMPUTED_VALUE"""),"https://www.karger.com/Info/PrivacyPolicy")</f>
        <v>https://www.karger.com/Info/PrivacyPolicy</v>
      </c>
    </row>
    <row r="39" spans="1:6" ht="100" x14ac:dyDescent="0.25">
      <c r="A39" s="4" t="str">
        <f ca="1">IFERROR(__xludf.DUMMYFUNCTION("""COMPUTED_VALUE"""),"HeinOnline")</f>
        <v>HeinOnline</v>
      </c>
      <c r="B39" s="10" t="str">
        <f ca="1">IFERROR(__xludf.DUMMYFUNCTION("""COMPUTED_VALUE"""),"Offering free campus-wide and remote access options to HeinOnline Academic for the remainder of the current semester and all of next semester. 
Activate access here: mailto:marketing@wshein.com?subject=Activate%20Complimentary%20Access%20to%20HeinOnline%"&amp;"20Academic&amp;body=Hello%2C%0A%0AI%20would%20like%20to%20activate%20the%20free%20access%20to%20HeinOnline%20Academic%20for%20my%20institution.%0A%0AUniversity%20Name%3A%0ACampus%20IP%20Range(s)%3A%0AProxy%20Server%3A%20%0A%0A%0APromo%20Code%3A%20HOLAREMOTE20")</f>
        <v>Offering free campus-wide and remote access options to HeinOnline Academic for the remainder of the current semester and all of next semester. 
Activate access here: mailto:marketing@wshein.com?subject=Activate%20Complimentary%20Access%20to%20HeinOnline%20Academic&amp;body=Hello%2C%0A%0AI%20would%20like%20to%20activate%20the%20free%20access%20to%20HeinOnline%20Academic%20for%20my%20institution.%0A%0AUniversity%20Name%3A%0ACampus%20IP%20Range(s)%3A%0AProxy%20Server%3A%20%0A%0A%0APromo%20Code%3A%20HOLAREMOTE20</v>
      </c>
      <c r="C39" s="3" t="str">
        <f ca="1">IFERROR(__xludf.DUMMYFUNCTION("""COMPUTED_VALUE"""),"Sharla Lair LYRASIS")</f>
        <v>Sharla Lair LYRASIS</v>
      </c>
      <c r="D39" s="11">
        <f ca="1">IFERROR(__xludf.DUMMYFUNCTION("""COMPUTED_VALUE"""),43909)</f>
        <v>43909</v>
      </c>
      <c r="E39" s="12" t="str">
        <f ca="1">IFERROR(__xludf.DUMMYFUNCTION("""COMPUTED_VALUE"""),"Lookup Specifics")</f>
        <v>Lookup Specifics</v>
      </c>
      <c r="F39" s="15" t="str">
        <f ca="1">IFERROR(__xludf.DUMMYFUNCTION("""COMPUTED_VALUE"""),"https://help.heinonline.org/kb/what-is-heinonlines-privacy-policy/")</f>
        <v>https://help.heinonline.org/kb/what-is-heinonlines-privacy-policy/</v>
      </c>
    </row>
    <row r="40" spans="1:6" ht="25" x14ac:dyDescent="0.25">
      <c r="A40" s="4" t="str">
        <f ca="1">IFERROR(__xludf.DUMMYFUNCTION("""COMPUTED_VALUE"""),"Mary Ann Liebert")</f>
        <v>Mary Ann Liebert</v>
      </c>
      <c r="B40" s="10" t="str">
        <f ca="1">IFERROR(__xludf.DUMMYFUNCTION("""COMPUTED_VALUE"""),"Liebert has made, and will continue to make, all of their COVID-19 research content available for free https://home.liebertpub.com/lpages/-coronavirus-science-backed-research/250/ ")</f>
        <v xml:space="preserve">Liebert has made, and will continue to make, all of their COVID-19 research content available for free https://home.liebertpub.com/lpages/-coronavirus-science-backed-research/250/ </v>
      </c>
      <c r="C40" s="3" t="str">
        <f ca="1">IFERROR(__xludf.DUMMYFUNCTION("""COMPUTED_VALUE"""),"Ans ter Woerds SURFmarket")</f>
        <v>Ans ter Woerds SURFmarket</v>
      </c>
      <c r="D40" s="11">
        <f ca="1">IFERROR(__xludf.DUMMYFUNCTION("""COMPUTED_VALUE"""),43910)</f>
        <v>43910</v>
      </c>
      <c r="E40" s="12" t="str">
        <f ca="1">IFERROR(__xludf.DUMMYFUNCTION("""COMPUTED_VALUE"""),"Lookup Specifics")</f>
        <v>Lookup Specifics</v>
      </c>
      <c r="F40" s="15" t="str">
        <f ca="1">IFERROR(__xludf.DUMMYFUNCTION("""COMPUTED_VALUE"""),"https://privacy.liebertpub.com/")</f>
        <v>https://privacy.liebertpub.com/</v>
      </c>
    </row>
    <row r="41" spans="1:6" ht="100" x14ac:dyDescent="0.25">
      <c r="A41" s="4" t="str">
        <f ca="1">IFERROR(__xludf.DUMMYFUNCTION("""COMPUTED_VALUE"""),"Bloomsbury Digital Resources")</f>
        <v>Bloomsbury Digital Resources</v>
      </c>
      <c r="B41" s="10" t="str">
        <f ca="1">IFERROR(__xludf.DUMMYFUNCTION("""COMPUTED_VALUE"""),"As we all work together through an unprecedented situation, Bloomsbury Digital Resources, would like to help the library and educational community in any way we can. Our resources are now available upon request through the end of May 2020, at no cost or o"&amp;"bligation and on an unlimited access basis. Should you wish to enable access for your institution, please email us at the addresses below: America: OnlineSalesUS@bloomsbury.com , UK, Europe, Middle East, Africa: OnlineSalesUK@bloomsbury.com , Australia an"&amp;"d New Zealand, Asia, India: OnlineSalesANZ@bloomsbury.com . In addition to access, we will provide links to all resources that allow faculty to make the best use of the content, particularly for online courses. These include links to lesson plans, teachin"&amp;"g tools, and featured content that we've created to provide a pathway into the resource.")</f>
        <v>As we all work together through an unprecedented situation, Bloomsbury Digital Resources, would like to help the library and educational community in any way we can. Our resources are now available upon request through the end of May 2020, at no cost or obligation and on an unlimited access basis. Should you wish to enable access for your institution, please email us at the addresses below: America: OnlineSalesUS@bloomsbury.com , UK, Europe, Middle East, Africa: OnlineSalesUK@bloomsbury.com , Australia and New Zealand, Asia, India: OnlineSalesANZ@bloomsbury.com . In addition to access, we will provide links to all resources that allow faculty to make the best use of the content, particularly for online courses. These include links to lesson plans, teaching tools, and featured content that we've created to provide a pathway into the resource.</v>
      </c>
      <c r="C41" s="3" t="str">
        <f ca="1">IFERROR(__xludf.DUMMYFUNCTION("""COMPUTED_VALUE"""),"Ans ter Woerds SURFmarket")</f>
        <v>Ans ter Woerds SURFmarket</v>
      </c>
      <c r="D41" s="11">
        <f ca="1">IFERROR(__xludf.DUMMYFUNCTION("""COMPUTED_VALUE"""),43910)</f>
        <v>43910</v>
      </c>
      <c r="E41" s="12" t="str">
        <f ca="1">IFERROR(__xludf.DUMMYFUNCTION("""COMPUTED_VALUE"""),"Lookup Specifics")</f>
        <v>Lookup Specifics</v>
      </c>
      <c r="F41" s="15" t="str">
        <f ca="1">IFERROR(__xludf.DUMMYFUNCTION("""COMPUTED_VALUE"""),"https://www.bloomsbury.com/us/privacy-policy/")</f>
        <v>https://www.bloomsbury.com/us/privacy-policy/</v>
      </c>
    </row>
    <row r="42" spans="1:6" ht="187.5" x14ac:dyDescent="0.25">
      <c r="A42" s="4" t="str">
        <f ca="1">IFERROR(__xludf.DUMMYFUNCTION("""COMPUTED_VALUE"""),"Digital Science")</f>
        <v>Digital Science</v>
      </c>
      <c r="B42" s="10" t="str">
        <f ca="1">IFERROR(__xludf.DUMMYFUNCTION("""COMPUTED_VALUE"""),"All relevant content on COVID-19 from the Dimensions platform is being made available as a single export file, updated daily.
The file is available:
As a Google Sheet &amp; as an Excel file hosted on figshare: https://www.dimensions.ai/news/dimensions-is-faci"&amp;"litating-access-to-covid-19-research/
The file contains the details of (and links to) all relevant publications, data sets and clinical trials. The content has been exported from Dimensions using a query in the openly accessible Dimensions application, wh"&amp;"ich you can access here: https://covid-19.dimensions.ai/
Stats as of 22 March: 
publications: 4164 
trials: 645
datasets: 54
Dimensions is updated once every 24 hours, so the latest research can be viewed alongside existing information. With its range of "&amp;"research outputs including datasets and clinical trials, both of which are just as important as journal articles in the face of a potential pandemic, Dimensions is a one-stop shop for all COVID-19 related information.")</f>
        <v>All relevant content on COVID-19 from the Dimensions platform is being made available as a single export file, updated daily.
The file is available:
As a Google Sheet &amp; as an Excel file hosted on figshare: https://www.dimensions.ai/news/dimensions-is-facilitating-access-to-covid-19-research/
The file contains the details of (and links to) all relevant publications, data sets and clinical trials. The content has been exported from Dimensions using a query in the openly accessible Dimensions application, which you can access here: https://covid-19.dimensions.ai/
Stats as of 22 March: 
publications: 4164 
trials: 645
datasets: 54
Dimensions is updated once every 24 hours, so the latest research can be viewed alongside existing information. With its range of research outputs including datasets and clinical trials, both of which are just as important as journal articles in the face of a potential pandemic, Dimensions is a one-stop shop for all COVID-19 related information.</v>
      </c>
      <c r="C42" s="3" t="str">
        <f ca="1">IFERROR(__xludf.DUMMYFUNCTION("""COMPUTED_VALUE"""),"Linda Wobbe SCELC")</f>
        <v>Linda Wobbe SCELC</v>
      </c>
      <c r="D42" s="17">
        <f ca="1">IFERROR(__xludf.DUMMYFUNCTION("""COMPUTED_VALUE"""),43912)</f>
        <v>43912</v>
      </c>
      <c r="E42" s="12" t="str">
        <f ca="1">IFERROR(__xludf.DUMMYFUNCTION("""COMPUTED_VALUE"""),"Lookup Specifics")</f>
        <v>Lookup Specifics</v>
      </c>
      <c r="F42" s="15" t="str">
        <f ca="1">IFERROR(__xludf.DUMMYFUNCTION("""COMPUTED_VALUE"""),"https://www.dimensions.ai/privacy/")</f>
        <v>https://www.dimensions.ai/privacy/</v>
      </c>
    </row>
    <row r="43" spans="1:6" ht="125" x14ac:dyDescent="0.25">
      <c r="A43" s="4" t="str">
        <f ca="1">IFERROR(__xludf.DUMMYFUNCTION("""COMPUTED_VALUE"""),"CNKI")</f>
        <v>CNKI</v>
      </c>
      <c r="B43" s="10" t="str">
        <f ca="1">IFERROR(__xludf.DUMMYFUNCTION("""COMPUTED_VALUE"""),"CNKI OA platform for all literatures published regarding COVID-19
Chinese version- http://cajn.cnki.net/gzbd/brief/Default.aspx 
English version-  http://en.gzbd.cnki.net/GZBT/brief/Default.aspx 
""This platform aims to fight against the epidemic as soon "&amp;"as possible, and to facilitate the wide spread of research achievements across China and the world. It divides the research results of COVID-19 into 6 stages:  Pathogeny, Prevention, Diagnosis, Treatment, Prognosis and Nursing. The cost for open access pu"&amp;"blication and related services will be completely covered by our company.
Also, apart from journal articles, we also gathers some e-books and audio resources focused on COVID-19 for free till May 31, 2020. Please find the link at - http://new.oversea.cnk"&amp;"i.net/index/marketing/CNKIebook/en/homepage.html""")</f>
        <v>CNKI OA platform for all literatures published regarding COVID-19
Chinese version- http://cajn.cnki.net/gzbd/brief/Default.aspx 
English version-  http://en.gzbd.cnki.net/GZBT/brief/Default.aspx 
"This platform aims to fight against the epidemic as soon as possible, and to facilitate the wide spread of research achievements across China and the world. It divides the research results of COVID-19 into 6 stages:  Pathogeny, Prevention, Diagnosis, Treatment, Prognosis and Nursing. The cost for open access publication and related services will be completely covered by our company.
Also, apart from journal articles, we also gathers some e-books and audio resources focused on COVID-19 for free till May 31, 2020. Please find the link at - http://new.oversea.cnki.net/index/marketing/CNKIebook/en/homepage.html"</v>
      </c>
      <c r="C43" s="3" t="str">
        <f ca="1">IFERROR(__xludf.DUMMYFUNCTION("""COMPUTED_VALUE"""),"Jack Hyland at IReL")</f>
        <v>Jack Hyland at IReL</v>
      </c>
      <c r="D43" s="11">
        <f ca="1">IFERROR(__xludf.DUMMYFUNCTION("""COMPUTED_VALUE"""),43910)</f>
        <v>43910</v>
      </c>
      <c r="E43" s="12" t="str">
        <f ca="1">IFERROR(__xludf.DUMMYFUNCTION("""COMPUTED_VALUE"""),"Lookup Specifics")</f>
        <v>Lookup Specifics</v>
      </c>
      <c r="F43" s="13" t="str">
        <f ca="1">IFERROR(__xludf.DUMMYFUNCTION("""COMPUTED_VALUE"""),"None Found")</f>
        <v>None Found</v>
      </c>
    </row>
    <row r="44" spans="1:6" ht="150" x14ac:dyDescent="0.25">
      <c r="A44" s="4" t="str">
        <f ca="1">IFERROR(__xludf.DUMMYFUNCTION("""COMPUTED_VALUE"""),"John Libbey Eurotext")</f>
        <v>John Libbey Eurotext</v>
      </c>
      <c r="B44" s="10" t="str">
        <f ca="1">IFERROR(__xludf.DUMMYFUNCTION("""COMPUTED_VALUE"""),"Faced with the unprecedented crisis linked to the Covid-19, John Libbey mobilizes and opens access to all of its content
Dear all,
You who, as a scientist and health professional, are at the heart of the action, we wanted first of all, on behalf of the"&amp;" John Libbey team as a whole, to thank you for your tireless mobilization during this period pandemic caused by the new human coronavirus (Covid-19).
In order to contribute to this fight, at our level, and allow doctors and researchers to immediately acc"&amp;"ess the necessary scientific literature, we have decided to make available the entire content of our journals free of charge during this period.
To access it, simply connect to the site www.jle.com *")</f>
        <v>Faced with the unprecedented crisis linked to the Covid-19, John Libbey mobilizes and opens access to all of its content
Dear all,
You who, as a scientist and health professional, are at the heart of the action, we wanted first of all, on behalf of the John Libbey team as a whole, to thank you for your tireless mobilization during this period pandemic caused by the new human coronavirus (Covid-19).
In order to contribute to this fight, at our level, and allow doctors and researchers to immediately access the necessary scientific literature, we have decided to make available the entire content of our journals free of charge during this period.
To access it, simply connect to the site www.jle.com *</v>
      </c>
      <c r="C44" s="3" t="str">
        <f ca="1">IFERROR(__xludf.DUMMYFUNCTION("""COMPUTED_VALUE"""),"Craig Olsvik, CRKN")</f>
        <v>Craig Olsvik, CRKN</v>
      </c>
      <c r="D44" s="11">
        <f ca="1">IFERROR(__xludf.DUMMYFUNCTION("""COMPUTED_VALUE"""),43910)</f>
        <v>43910</v>
      </c>
      <c r="E44" s="12" t="str">
        <f ca="1">IFERROR(__xludf.DUMMYFUNCTION("""COMPUTED_VALUE"""),"Lookup Specifics")</f>
        <v>Lookup Specifics</v>
      </c>
      <c r="F44" s="15" t="str">
        <f ca="1">IFERROR(__xludf.DUMMYFUNCTION("""COMPUTED_VALUE"""),"https://www.jle.com/en/infos_legales")</f>
        <v>https://www.jle.com/en/infos_legales</v>
      </c>
    </row>
    <row r="45" spans="1:6" ht="175" x14ac:dyDescent="0.25">
      <c r="A45" s="4" t="str">
        <f ca="1">IFERROR(__xludf.DUMMYFUNCTION("""COMPUTED_VALUE"""),"EBSCO")</f>
        <v>EBSCO</v>
      </c>
      <c r="B45" s="10" t="str">
        <f ca="1">IFERROR(__xludf.DUMMYFUNCTION("""COMPUTED_VALUE"""),"Faculty can search more than 12,400 Open Educational Resources, and copy/paste links to relevant materials into their Learning Management System (LMS) or send links to the material directly to students to access.Faculty can also search and discover more t"&amp;"han 225,000 DRM-free EBSCO eBooks; if they discover an e-book of interest, they can contact their librarian to discuss potentially purchasing.EBSCO is providing easy access to OER through a simplified version of Faculty Select at this link: https://go.ebs"&amp;"co.com/L202QN00k1h50L8S50H0T0s In addition, EBSCO eBooks™ is partnering with publishers to waive simultaneous user limits wherever possible, ensuring unlimited access to e-books by:
Upgrading existing EBSCO eBooks holdings to Unlimited-User access until J"&amp;"une 30 for a growing list of publishers.* This upgrade went live on Monday, March 16.
Discounting Unlimited-User access at One-User pricing for new e-book acquisitions.
View the list of more than 300 participating publishers, https://go.ebsco.com/n0L40FT"&amp;"02bsH0QN0gj01TV2 or visit the Special Promotions section of Spotlight Lists in GOBI https://go.ebsco.com/I0j0GLg0H24UsT2b0V0NQ01 to view discounted titles available and order through GOBI. To take advantage of the discount offer through your approval plan"&amp;", contact your Collection Development Manager.")</f>
        <v>Faculty can search more than 12,400 Open Educational Resources, and copy/paste links to relevant materials into their Learning Management System (LMS) or send links to the material directly to students to access.Faculty can also search and discover more than 225,000 DRM-free EBSCO eBooks; if they discover an e-book of interest, they can contact their librarian to discuss potentially purchasing.EBSCO is providing easy access to OER through a simplified version of Faculty Select at this link: https://go.ebsco.com/L202QN00k1h50L8S50H0T0s In addition, EBSCO eBooks™ is partnering with publishers to waive simultaneous user limits wherever possible, ensuring unlimited access to e-books by:
Upgrading existing EBSCO eBooks holdings to Unlimited-User access until June 30 for a growing list of publishers.* This upgrade went live on Monday, March 16.
Discounting Unlimited-User access at One-User pricing for new e-book acquisitions.
View the list of more than 300 participating publishers, https://go.ebsco.com/n0L40FT02bsH0QN0gj01TV2 or visit the Special Promotions section of Spotlight Lists in GOBI https://go.ebsco.com/I0j0GLg0H24UsT2b0V0NQ01 to view discounted titles available and order through GOBI. To take advantage of the discount offer through your approval plan, contact your Collection Development Manager.</v>
      </c>
      <c r="C45" s="3" t="str">
        <f ca="1">IFERROR(__xludf.DUMMYFUNCTION("""COMPUTED_VALUE"""),"Linda Wobbe SCELC")</f>
        <v>Linda Wobbe SCELC</v>
      </c>
      <c r="D45" s="11">
        <f ca="1">IFERROR(__xludf.DUMMYFUNCTION("""COMPUTED_VALUE"""),43910)</f>
        <v>43910</v>
      </c>
      <c r="E45" s="12" t="str">
        <f ca="1">IFERROR(__xludf.DUMMYFUNCTION("""COMPUTED_VALUE"""),"Lookup Specifics")</f>
        <v>Lookup Specifics</v>
      </c>
      <c r="F45" s="15" t="str">
        <f ca="1">IFERROR(__xludf.DUMMYFUNCTION("""COMPUTED_VALUE"""),"https://www.ebsco.com/company/privacy-policy")</f>
        <v>https://www.ebsco.com/company/privacy-policy</v>
      </c>
    </row>
    <row r="46" spans="1:6" ht="137.5" x14ac:dyDescent="0.25">
      <c r="A46" s="4" t="str">
        <f ca="1">IFERROR(__xludf.DUMMYFUNCTION("""COMPUTED_VALUE"""),"University of California Press")</f>
        <v>University of California Press</v>
      </c>
      <c r="B46" s="10" t="str">
        <f ca="1">IFERROR(__xludf.DUMMYFUNCTION("""COMPUTED_VALUE"""),"In recognition of the impact of Covid-19 on campus instruction and the rise of unplanned distance learning, University of California Press is pleased to make all of our online journals content free to all through June 2020. https://www.ucpress.edu/blog/49"&amp;"700/free-access-to-all-uc-press-journals-through-june-2020/
See UC Press’s full list of journals. https://www.ucpress.edu/journals
UC Press publishes scholarly journals in the following subject disciplines: Architecture, Area Studies, Art and Visual Cul"&amp;"ture, Biology, California and the West, Classics, Communication Studies, Criminology and Criminal Justice, Environmental Science, Film and Media, Food Studies, Global Studies, History, Interdisciplinary Studies, Law, Literature and Criticism, Music, Polit"&amp;"ics, Psychology, Religion, Research Methods, and Sociology. https://www.ucpress.edu/journals-subject")</f>
        <v>In recognition of the impact of Covid-19 on campus instruction and the rise of unplanned distance learning, University of California Press is pleased to make all of our online journals content free to all through June 2020. https://www.ucpress.edu/blog/49700/free-access-to-all-uc-press-journals-through-june-2020/
See UC Press’s full list of journals. https://www.ucpress.edu/journals
UC Press publishes scholarly journals in the following subject disciplines: Architecture, Area Studies, Art and Visual Culture, Biology, California and the West, Classics, Communication Studies, Criminology and Criminal Justice, Environmental Science, Film and Media, Food Studies, Global Studies, History, Interdisciplinary Studies, Law, Literature and Criticism, Music, Politics, Psychology, Religion, Research Methods, and Sociology. https://www.ucpress.edu/journals-subject</v>
      </c>
      <c r="C46" s="3" t="str">
        <f ca="1">IFERROR(__xludf.DUMMYFUNCTION("""COMPUTED_VALUE"""),"Linda Wobbe SCELC")</f>
        <v>Linda Wobbe SCELC</v>
      </c>
      <c r="D46" s="11">
        <f ca="1">IFERROR(__xludf.DUMMYFUNCTION("""COMPUTED_VALUE"""),43910)</f>
        <v>43910</v>
      </c>
      <c r="E46" s="12" t="str">
        <f ca="1">IFERROR(__xludf.DUMMYFUNCTION("""COMPUTED_VALUE"""),"Lookup Specifics")</f>
        <v>Lookup Specifics</v>
      </c>
      <c r="F46" s="15" t="str">
        <f ca="1">IFERROR(__xludf.DUMMYFUNCTION("""COMPUTED_VALUE"""),"https://www.ucpress.edu/about/privacy-policy")</f>
        <v>https://www.ucpress.edu/about/privacy-policy</v>
      </c>
    </row>
    <row r="47" spans="1:6" ht="409.5" x14ac:dyDescent="0.25">
      <c r="A47" s="4" t="str">
        <f ca="1">IFERROR(__xludf.DUMMYFUNCTION("""COMPUTED_VALUE"""),"NEJM")</f>
        <v>NEJM</v>
      </c>
      <c r="B47" s="10" t="str">
        <f ca="1">IFERROR(__xludf.DUMMYFUNCTION("""COMPUTED_VALUE"""),"""NEJM.org
Make sure to bookmark the NEJM topic page (http://click.info-nejm.org/?qs=2a4d233f7c036503c72614856d716ea7cb7400c93700b9a2eae3d033675080cb9f52d85d716da22c7fee90b41fefe195) about coronavirus. This page contains a collection of articles and other"&amp;" resources on the Covid-19 outbreak, including clinical reports, management guidelines, and commentary. All content in this section is publicly accessible.
To assist Chinese health professionals in responding to the coronavirus outbreak, NEJM 医学前沿 [http:"&amp;"//click.info-nejm.org/?qs=2a4d233f7c036503ec0237e16524bb42cfddfa1f4143528816fe3d603eeeddbabf72b4b74e1ef5a8a55da93a82e4af27] professionally translates these articles into Mandarin and makes them available at http://nejmqianyan.cn.
NEJM research articles "&amp;"related to the coronavirus will also be made freely available at CNKI (China National Knowledge Infrastructure). NEJM Group is participating in the proposal for Open Access Publishing of Research Papers on Novel Coronavirus-Infected Pneumonia via CNKI.
N"&amp;"EJM Resident 360 (free access with your institution site license)
Covid-19 Case Reports [http://click.info-nejm.org/?qs=2a4d233f7c0365032edf1ea545356887a6756cc1f814843d058d8cdaae6ae8712d9b83d6bdf2b41249866d8eb7dfb256]
We invite you to share short case rep"&amp;"orts of patients you have treated with Covid-19 in your hospital. Please do not include any information that could identify a patient, using decades of age and only general geographic information.
On the Front lines with Covid-19: What can we learn from "&amp;"each other? [http://click.info-nejm.org/?qs=2a4d233f7c036503bfc5030d47801a0d9739eb2191ddfd7f7414af1f6db13ba25da95d13fe6e82f1a2917887dc6b8d8a]
As physicians, we work on the front line, where information and sound decision-making are key to protecting pati"&amp;"ents and ourselves. Have you seen patients who were exposed to, suspected to have, or confirmed as having Covid-19 at your institution? Do you have questions or concerns about how to adequately prepare for what’s coming?
Encourage your patrons to create "&amp;"their free NEJM Resident 360 account. Download this guide [http://click.info-nejm.org/?qs=2a4d233f7c03650383e3ef6069b0c5bbb3d8c8d46ee4911013433cb3596ca619b0d69d4e44269f3e30c3a3da1037a3b6] to help with registration.""
")</f>
        <v xml:space="preserve">"NEJM.org
Make sure to bookmark the NEJM topic page (http://click.info-nejm.org/?qs=2a4d233f7c036503c72614856d716ea7cb7400c93700b9a2eae3d033675080cb9f52d85d716da22c7fee90b41fefe195) about coronavirus. This page contains a collection of articles and other resources on the Covid-19 outbreak, including clinical reports, management guidelines, and commentary. All content in this section is publicly accessible.
To assist Chinese health professionals in responding to the coronavirus outbreak, NEJM 医学前沿 [http://click.info-nejm.org/?qs=2a4d233f7c036503ec0237e16524bb42cfddfa1f4143528816fe3d603eeeddbabf72b4b74e1ef5a8a55da93a82e4af27] professionally translates these articles into Mandarin and makes them available at http://nejmqianyan.cn.
NEJM research articles related to the coronavirus will also be made freely available at CNKI (China National Knowledge Infrastructure). NEJM Group is participating in the proposal for Open Access Publishing of Research Papers on Novel Coronavirus-Infected Pneumonia via CNKI.
NEJM Resident 360 (free access with your institution site license)
Covid-19 Case Reports [http://click.info-nejm.org/?qs=2a4d233f7c0365032edf1ea545356887a6756cc1f814843d058d8cdaae6ae8712d9b83d6bdf2b41249866d8eb7dfb256]
We invite you to share short case reports of patients you have treated with Covid-19 in your hospital. Please do not include any information that could identify a patient, using decades of age and only general geographic information.
On the Front lines with Covid-19: What can we learn from each other? [http://click.info-nejm.org/?qs=2a4d233f7c036503bfc5030d47801a0d9739eb2191ddfd7f7414af1f6db13ba25da95d13fe6e82f1a2917887dc6b8d8a]
As physicians, we work on the front line, where information and sound decision-making are key to protecting patients and ourselves. Have you seen patients who were exposed to, suspected to have, or confirmed as having Covid-19 at your institution? Do you have questions or concerns about how to adequately prepare for what’s coming?
Encourage your patrons to create their free NEJM Resident 360 account. Download this guide [http://click.info-nejm.org/?qs=2a4d233f7c03650383e3ef6069b0c5bbb3d8c8d46ee4911013433cb3596ca619b0d69d4e44269f3e30c3a3da1037a3b6] to help with registration."
</v>
      </c>
      <c r="C47" s="3" t="str">
        <f ca="1">IFERROR(__xludf.DUMMYFUNCTION("""COMPUTED_VALUE"""),"Jack Hyland at IReL")</f>
        <v>Jack Hyland at IReL</v>
      </c>
      <c r="D47" s="11">
        <f ca="1">IFERROR(__xludf.DUMMYFUNCTION("""COMPUTED_VALUE"""),43911)</f>
        <v>43911</v>
      </c>
      <c r="E47" s="12" t="str">
        <f ca="1">IFERROR(__xludf.DUMMYFUNCTION("""COMPUTED_VALUE"""),"Lookup Specifics")</f>
        <v>Lookup Specifics</v>
      </c>
      <c r="F47" s="15" t="str">
        <f ca="1">IFERROR(__xludf.DUMMYFUNCTION("""COMPUTED_VALUE"""),"https://www.nejmgroup.org/legal/privacy-policy.htm?query=footer")</f>
        <v>https://www.nejmgroup.org/legal/privacy-policy.htm?query=footer</v>
      </c>
    </row>
    <row r="48" spans="1:6" ht="37.5" x14ac:dyDescent="0.25">
      <c r="A48" s="4" t="str">
        <f ca="1">IFERROR(__xludf.DUMMYFUNCTION("""COMPUTED_VALUE"""),"IEEE")</f>
        <v>IEEE</v>
      </c>
      <c r="B48" s="10" t="str">
        <f ca="1">IFERROR(__xludf.DUMMYFUNCTION("""COMPUTED_VALUE"""),"""customers impacted by COVID-19 will get access to IEEE suite of 400 + eLearning courses through to the end of June to help support students and faculty members teaching engineering and computer science. IEEE Courses are hosted on IEEE Xplore - https://i"&amp;"eeexplore.ieee.org/courses/home full list of courses available can be downloaded here.""")</f>
        <v>"customers impacted by COVID-19 will get access to IEEE suite of 400 + eLearning courses through to the end of June to help support students and faculty members teaching engineering and computer science. IEEE Courses are hosted on IEEE Xplore - https://ieeexplore.ieee.org/courses/home full list of courses available can be downloaded here."</v>
      </c>
      <c r="C48" s="3" t="str">
        <f ca="1">IFERROR(__xludf.DUMMYFUNCTION("""COMPUTED_VALUE"""),"Jack Hyland at IReL")</f>
        <v>Jack Hyland at IReL</v>
      </c>
      <c r="D48" s="11">
        <f ca="1">IFERROR(__xludf.DUMMYFUNCTION("""COMPUTED_VALUE"""),43911)</f>
        <v>43911</v>
      </c>
      <c r="E48" s="12" t="str">
        <f ca="1">IFERROR(__xludf.DUMMYFUNCTION("""COMPUTED_VALUE"""),"Lookup Specifics")</f>
        <v>Lookup Specifics</v>
      </c>
      <c r="F48" s="15" t="str">
        <f ca="1">IFERROR(__xludf.DUMMYFUNCTION("""COMPUTED_VALUE"""),"https://www.ieee.org/about/help/security_privacy.html")</f>
        <v>https://www.ieee.org/about/help/security_privacy.html</v>
      </c>
    </row>
    <row r="49" spans="1:26" ht="62.5" x14ac:dyDescent="0.25">
      <c r="A49" s="4" t="str">
        <f ca="1">IFERROR(__xludf.DUMMYFUNCTION("""COMPUTED_VALUE"""),"EBSCO")</f>
        <v>EBSCO</v>
      </c>
      <c r="B49" s="10" t="str">
        <f ca="1">IFERROR(__xludf.DUMMYFUNCTION("""COMPUTED_VALUE"""),"""I can now confirm we are making our Academic eBook Subscription Collection (https://www.ebsco.com/products/ebooks/academic-collection) available for libraries to access on EBSCOhost for a period of 3 months where they don’t currently subscribe to it.  I"&amp;"f a library would like to take advantage of accessing the 200,000+ eBooks with no restrictions of the number of concurrent users, please contact [your EBSCO rep]  and we can help facilitate this""")</f>
        <v>"I can now confirm we are making our Academic eBook Subscription Collection (https://www.ebsco.com/products/ebooks/academic-collection) available for libraries to access on EBSCOhost for a period of 3 months where they don’t currently subscribe to it.  If a library would like to take advantage of accessing the 200,000+ eBooks with no restrictions of the number of concurrent users, please contact [your EBSCO rep]  and we can help facilitate this"</v>
      </c>
      <c r="C49" s="3" t="str">
        <f ca="1">IFERROR(__xludf.DUMMYFUNCTION("""COMPUTED_VALUE"""),"Jack Hyland at IReL")</f>
        <v>Jack Hyland at IReL</v>
      </c>
      <c r="D49" s="11">
        <f ca="1">IFERROR(__xludf.DUMMYFUNCTION("""COMPUTED_VALUE"""),43911)</f>
        <v>43911</v>
      </c>
      <c r="E49" s="12" t="str">
        <f ca="1">IFERROR(__xludf.DUMMYFUNCTION("""COMPUTED_VALUE"""),"Lookup Specifics")</f>
        <v>Lookup Specifics</v>
      </c>
      <c r="F49" s="15" t="str">
        <f ca="1">IFERROR(__xludf.DUMMYFUNCTION("""COMPUTED_VALUE"""),"https://www.ebsco.com/company/privacy-policy")</f>
        <v>https://www.ebsco.com/company/privacy-policy</v>
      </c>
    </row>
    <row r="50" spans="1:26" ht="75" x14ac:dyDescent="0.25">
      <c r="A50" s="4" t="str">
        <f ca="1">IFERROR(__xludf.DUMMYFUNCTION("""COMPUTED_VALUE"""),"Royal Society of Chemistry")</f>
        <v>Royal Society of Chemistry</v>
      </c>
      <c r="B50" s="10" t="str">
        <f ca="1">IFERROR(__xludf.DUMMYFUNCTION("""COMPUTED_VALUE"""),"Maintaining your access to RSC content. Wherever you might be working at the moment, we would like to reassure you that your access to our journals, eBooks and RSC Select package remains unaffected. If you are experiencing any difficulty accessing informa"&amp;"tion in the usual way, please let us know and we will work with you to get things working smoothly again. You can send a mail to &lt;technicalsupport@rsc.org&gt;. Chemical scientists everywhere must have access to the latest knowledge and resources in order to "&amp;"address the world’s challenges, and we can offer this no matter where you are based.")</f>
        <v>Maintaining your access to RSC content. Wherever you might be working at the moment, we would like to reassure you that your access to our journals, eBooks and RSC Select package remains unaffected. If you are experiencing any difficulty accessing information in the usual way, please let us know and we will work with you to get things working smoothly again. You can send a mail to &lt;technicalsupport@rsc.org&gt;. Chemical scientists everywhere must have access to the latest knowledge and resources in order to address the world’s challenges, and we can offer this no matter where you are based.</v>
      </c>
      <c r="C50" s="3" t="str">
        <f ca="1">IFERROR(__xludf.DUMMYFUNCTION("""COMPUTED_VALUE"""),"Pim Slot SURFmarket")</f>
        <v>Pim Slot SURFmarket</v>
      </c>
      <c r="D50" s="18">
        <f ca="1">IFERROR(__xludf.DUMMYFUNCTION("""COMPUTED_VALUE"""),43913)</f>
        <v>43913</v>
      </c>
      <c r="E50" s="2" t="str">
        <f ca="1">IFERROR(__xludf.DUMMYFUNCTION("""COMPUTED_VALUE"""),"[This response does not include expanded access]")</f>
        <v>[This response does not include expanded access]</v>
      </c>
      <c r="F50" s="15" t="str">
        <f ca="1">IFERROR(__xludf.DUMMYFUNCTION("""COMPUTED_VALUE"""),"https://www.rsc.org/news-events/articles/2018/jan/gdpr-information/")</f>
        <v>https://www.rsc.org/news-events/articles/2018/jan/gdpr-information/</v>
      </c>
    </row>
    <row r="51" spans="1:26" ht="37.5" x14ac:dyDescent="0.25">
      <c r="A51" s="4" t="str">
        <f ca="1">IFERROR(__xludf.DUMMYFUNCTION("""COMPUTED_VALUE"""),"OUP")</f>
        <v>OUP</v>
      </c>
      <c r="B51" s="2" t="str">
        <f ca="1">IFERROR(__xludf.DUMMYFUNCTION("""COMPUTED_VALUE"""),"In the light of the Coronavirus epidemic, please see the link below for related, freely available resources; https://academic.oup.com/journals/pages/coronavirus. ")</f>
        <v xml:space="preserve">In the light of the Coronavirus epidemic, please see the link below for related, freely available resources; https://academic.oup.com/journals/pages/coronavirus. </v>
      </c>
      <c r="C51" s="3" t="str">
        <f ca="1">IFERROR(__xludf.DUMMYFUNCTION("""COMPUTED_VALUE"""),"Pim Slot SURFmarket")</f>
        <v>Pim Slot SURFmarket</v>
      </c>
      <c r="D51" s="19">
        <f ca="1">IFERROR(__xludf.DUMMYFUNCTION("""COMPUTED_VALUE"""),43913)</f>
        <v>43913</v>
      </c>
      <c r="E51" s="1" t="str">
        <f ca="1">IFERROR(__xludf.DUMMYFUNCTION("""COMPUTED_VALUE"""),"Lookup Specifics")</f>
        <v>Lookup Specifics</v>
      </c>
      <c r="F51" s="8" t="str">
        <f ca="1">IFERROR(__xludf.DUMMYFUNCTION("""COMPUTED_VALUE"""),"https://global.oup.com/booksites/content/9780198846864/")</f>
        <v>https://global.oup.com/booksites/content/9780198846864/</v>
      </c>
      <c r="G51" s="16"/>
      <c r="H51" s="16"/>
      <c r="I51" s="16"/>
      <c r="J51" s="16"/>
      <c r="K51" s="16"/>
      <c r="L51" s="16"/>
      <c r="M51" s="16"/>
      <c r="N51" s="16"/>
      <c r="O51" s="16"/>
      <c r="P51" s="16"/>
      <c r="Q51" s="16"/>
      <c r="R51" s="16"/>
      <c r="S51" s="16"/>
      <c r="T51" s="16"/>
      <c r="U51" s="16"/>
      <c r="V51" s="16"/>
      <c r="W51" s="16"/>
      <c r="X51" s="16"/>
      <c r="Y51" s="16"/>
      <c r="Z51" s="16"/>
    </row>
    <row r="52" spans="1:26" ht="50" x14ac:dyDescent="0.25">
      <c r="A52" s="4" t="str">
        <f ca="1">IFERROR(__xludf.DUMMYFUNCTION("""COMPUTED_VALUE"""),"McGraw-Hill Medical")</f>
        <v>McGraw-Hill Medical</v>
      </c>
      <c r="B52" s="2" t="str">
        <f ca="1">IFERROR(__xludf.DUMMYFUNCTION("""COMPUTED_VALUE"""),"McGraw-Hill Medical is here to support you during this challenging time when in-person classes are suspended. We have created a distance learning toolkit and the AccessMedicine COVID-19 Central to help faculty, students, residents, and healthcare professi"&amp;"onals continue teaching and learning online and get the latest information on the COVID-19 global pandemic.  http://click.mheducation.com/thFd1l0mFn0q3010Kg000F4")</f>
        <v>McGraw-Hill Medical is here to support you during this challenging time when in-person classes are suspended. We have created a distance learning toolkit and the AccessMedicine COVID-19 Central to help faculty, students, residents, and healthcare professionals continue teaching and learning online and get the latest information on the COVID-19 global pandemic.  http://click.mheducation.com/thFd1l0mFn0q3010Kg000F4</v>
      </c>
      <c r="C52" s="3" t="str">
        <f ca="1">IFERROR(__xludf.DUMMYFUNCTION("""COMPUTED_VALUE"""),"Linda Wobbe SCELC")</f>
        <v>Linda Wobbe SCELC</v>
      </c>
      <c r="D52" s="19">
        <f ca="1">IFERROR(__xludf.DUMMYFUNCTION("""COMPUTED_VALUE"""),43913)</f>
        <v>43913</v>
      </c>
      <c r="E52" s="1" t="str">
        <f ca="1">IFERROR(__xludf.DUMMYFUNCTION("""COMPUTED_VALUE"""),"Lookup Specifics")</f>
        <v>Lookup Specifics</v>
      </c>
      <c r="F52" s="8" t="str">
        <f ca="1">IFERROR(__xludf.DUMMYFUNCTION("""COMPUTED_VALUE"""),"https://www.accessmedicinenetwork.com/pages/privacy-policy-mgh")</f>
        <v>https://www.accessmedicinenetwork.com/pages/privacy-policy-mgh</v>
      </c>
      <c r="G52" s="16"/>
      <c r="H52" s="16"/>
      <c r="I52" s="16"/>
      <c r="J52" s="16"/>
      <c r="K52" s="16"/>
      <c r="L52" s="16"/>
      <c r="M52" s="16"/>
      <c r="N52" s="16"/>
      <c r="O52" s="16"/>
      <c r="P52" s="16"/>
      <c r="Q52" s="16"/>
      <c r="R52" s="16"/>
      <c r="S52" s="16"/>
      <c r="T52" s="16"/>
      <c r="U52" s="16"/>
      <c r="V52" s="16"/>
      <c r="W52" s="16"/>
      <c r="X52" s="16"/>
      <c r="Y52" s="16"/>
      <c r="Z52" s="16"/>
    </row>
    <row r="53" spans="1:26" ht="75" x14ac:dyDescent="0.25">
      <c r="A53" s="20" t="str">
        <f ca="1">IFERROR(__xludf.DUMMYFUNCTION("""COMPUTED_VALUE"""),"EBSCO and Harvard Business Publishing")</f>
        <v>EBSCO and Harvard Business Publishing</v>
      </c>
      <c r="B53" s="10" t="str">
        <f ca="1">IFERROR(__xludf.DUMMYFUNCTION("""COMPUTED_VALUE"""),"EBSCO and Harvard Business Publishing are pleased to offer libraries free unlimited user access to the Harvard Business Review E-Book Subscription Collection until May 30, 2020.
This ground-breaking collection contains the complete catalog of Harvard Busi"&amp;"ness Review e-books.  With over 600 e-books that include 400+ monographs, newly published e-books, seminal works, and 150+ article compilations of the HBR Classics series, faculty will be available to quickly provide relevant digital materials for their s"&amp;"tudents.
 Gain immediate access for your students and faculty today by contacting your local EBSCO representative.")</f>
        <v>EBSCO and Harvard Business Publishing are pleased to offer libraries free unlimited user access to the Harvard Business Review E-Book Subscription Collection until May 30, 2020.
This ground-breaking collection contains the complete catalog of Harvard Business Review e-books.  With over 600 e-books that include 400+ monographs, newly published e-books, seminal works, and 150+ article compilations of the HBR Classics series, faculty will be available to quickly provide relevant digital materials for their students.
 Gain immediate access for your students and faculty today by contacting your local EBSCO representative.</v>
      </c>
      <c r="C53" s="3" t="str">
        <f ca="1">IFERROR(__xludf.DUMMYFUNCTION("""COMPUTED_VALUE"""),"Linda Wobbe SCELC")</f>
        <v>Linda Wobbe SCELC</v>
      </c>
      <c r="D53" s="19">
        <f ca="1">IFERROR(__xludf.DUMMYFUNCTION("""COMPUTED_VALUE"""),43914)</f>
        <v>43914</v>
      </c>
      <c r="E53" s="12" t="str">
        <f ca="1">IFERROR(__xludf.DUMMYFUNCTION("""COMPUTED_VALUE"""),"Lookup Specifics")</f>
        <v>Lookup Specifics</v>
      </c>
      <c r="F53" s="13" t="str">
        <f ca="1">IFERROR(__xludf.DUMMYFUNCTION("""COMPUTED_VALUE"""),"")</f>
        <v/>
      </c>
    </row>
    <row r="54" spans="1:26" ht="62.5" x14ac:dyDescent="0.25">
      <c r="A54" s="4" t="str">
        <f ca="1">IFERROR(__xludf.DUMMYFUNCTION("""COMPUTED_VALUE"""),"Brill")</f>
        <v>Brill</v>
      </c>
      <c r="B54" s="10" t="str">
        <f ca="1">IFERROR(__xludf.DUMMYFUNCTION("""COMPUTED_VALUE"""),"More than 30 leading STM publishers have committed to making all of their COVID-19 and coronavirus-related publications immediately accessible. 
At Brill we have opened up books and articles on topics such as public health, distance learning, crisis resea"&amp;"rch.
If any new related content is published with us, it will be added to this collection. https://www2.brill.com/e/319031/COVID-19-Collection/324ykj/233760121?h=BiMXo5TfWR2uJu1mWWtRJRYB-6UK3IPy_7zwBVqvfnQ")</f>
        <v>More than 30 leading STM publishers have committed to making all of their COVID-19 and coronavirus-related publications immediately accessible. 
At Brill we have opened up books and articles on topics such as public health, distance learning, crisis research.
If any new related content is published with us, it will be added to this collection. https://www2.brill.com/e/319031/COVID-19-Collection/324ykj/233760121?h=BiMXo5TfWR2uJu1mWWtRJRYB-6UK3IPy_7zwBVqvfnQ</v>
      </c>
      <c r="C54" s="3" t="str">
        <f ca="1">IFERROR(__xludf.DUMMYFUNCTION("""COMPUTED_VALUE"""),"Linda Wobbe SCELC")</f>
        <v>Linda Wobbe SCELC</v>
      </c>
      <c r="D54" s="18">
        <f ca="1">IFERROR(__xludf.DUMMYFUNCTION("""COMPUTED_VALUE"""),43914)</f>
        <v>43914</v>
      </c>
      <c r="E54" s="12" t="str">
        <f ca="1">IFERROR(__xludf.DUMMYFUNCTION("""COMPUTED_VALUE"""),"Lookup Specifics")</f>
        <v>Lookup Specifics</v>
      </c>
      <c r="F54" s="13" t="str">
        <f ca="1">IFERROR(__xludf.DUMMYFUNCTION("""COMPUTED_VALUE"""),"")</f>
        <v/>
      </c>
    </row>
    <row r="55" spans="1:26" ht="212.5" x14ac:dyDescent="0.25">
      <c r="A55" s="4" t="str">
        <f ca="1">IFERROR(__xludf.DUMMYFUNCTION("""COMPUTED_VALUE"""),"SAGE")</f>
        <v>SAGE</v>
      </c>
      <c r="B55" s="10" t="str">
        <f ca="1">IFERROR(__xludf.DUMMYFUNCTION("""COMPUTED_VALUE"""),"Offering complimentary, 90-day access to most-requested online teaching and learning resources: SAGE Video, SAGE Research Methods Video and SAGE Knowledge Books &amp; Reference*
Providing user guides, manuals, and tips for remote access to SAGE resources as w"&amp;"ell as online access to SAGE Journals for print-only subscribers
Extending free access to eBooks/eTextbooks and courseware access for instructors
US teaching materials: https://sagepub.com/remote-teaching-solutions
UK teaching materials: https://sagepub.c"&amp;"om/resources-to-help-you-teach-online-UK
All other regions: https://sagepub.com/resources-to-help-you-teach-online
Sharing free-to-access research and data related to COVID-19 and its impact:
Medical research: https://us.sagepub.com/en-us/nam/press/access"&amp;"-coronavirus-covid-19-articles-from-sage-publishing
A curated collection of both medical and social and behavioral science related to the virus and more broadly on managing pandemics: https://journals.sagepub.com/coronavirus
Fast tracking new research sub"&amp;"mitted to our journals related to the current situation and publishing it open access while waiving APCs
Find more information here: www.sagepub.com/remote-learning-solutions  ")</f>
        <v xml:space="preserve">Offering complimentary, 90-day access to most-requested online teaching and learning resources: SAGE Video, SAGE Research Methods Video and SAGE Knowledge Books &amp; Reference*
Providing user guides, manuals, and tips for remote access to SAGE resources as well as online access to SAGE Journals for print-only subscribers
Extending free access to eBooks/eTextbooks and courseware access for instructors
US teaching materials: https://sagepub.com/remote-teaching-solutions
UK teaching materials: https://sagepub.com/resources-to-help-you-teach-online-UK
All other regions: https://sagepub.com/resources-to-help-you-teach-online
Sharing free-to-access research and data related to COVID-19 and its impact:
Medical research: https://us.sagepub.com/en-us/nam/press/access-coronavirus-covid-19-articles-from-sage-publishing
A curated collection of both medical and social and behavioral science related to the virus and more broadly on managing pandemics: https://journals.sagepub.com/coronavirus
Fast tracking new research submitted to our journals related to the current situation and publishing it open access while waiving APCs
Find more information here: www.sagepub.com/remote-learning-solutions  </v>
      </c>
      <c r="C55" s="3" t="str">
        <f ca="1">IFERROR(__xludf.DUMMYFUNCTION("""COMPUTED_VALUE"""),"Linda Wobbe SCELC")</f>
        <v>Linda Wobbe SCELC</v>
      </c>
      <c r="D55" s="18">
        <f ca="1">IFERROR(__xludf.DUMMYFUNCTION("""COMPUTED_VALUE"""),43914)</f>
        <v>43914</v>
      </c>
      <c r="E55" s="12" t="str">
        <f ca="1">IFERROR(__xludf.DUMMYFUNCTION("""COMPUTED_VALUE"""),"Lookup Specifics")</f>
        <v>Lookup Specifics</v>
      </c>
      <c r="F55" s="13" t="str">
        <f ca="1">IFERROR(__xludf.DUMMYFUNCTION("""COMPUTED_VALUE"""),"")</f>
        <v/>
      </c>
    </row>
    <row r="56" spans="1:26" ht="300" x14ac:dyDescent="0.25">
      <c r="A56" s="4" t="str">
        <f ca="1">IFERROR(__xludf.DUMMYFUNCTION("""COMPUTED_VALUE"""),"American Psychological Association (APA)")</f>
        <v>American Psychological Association (APA)</v>
      </c>
      <c r="B56" s="10" t="str">
        <f ca="1">IFERROR(__xludf.DUMMYFUNCTION("""COMPUTED_VALUE"""),"APA Publishing is helping to support our customers during this challenging time by making a variety of resources freely available. For students and faculty at colleges and universities that have shut down their campuses and moved classes online, we are al"&amp;"lowing instructors to use PsycLearn: Research Methods content with their students at no cost for the remainder of this semester. The eight available modules of PsycLearn: Introduction to Social Psychology are also available. Interested educators should co"&amp;"ntact their APA Partnership Manager or email psyclearn@apa.org
APA’s distribution partners VitalSource and RedShelf are working to ensure that those affected continue to have access to a wide range of course content, including over 160 APA book titles an"&amp;"d both the 6th and 7th editions of the Publication Manual of the American Psychological Association. Along with other participating publishers, VitalSource, and RedShelf, we are offering digital content free of charge through May 25, 2020.
With APA Style"&amp;" content in particular demand, librarians might also point their patrons to our free online seventh edition style and grammar guidelines.
https://apastyle.apa.org/style-grammar-guidelines/
To support academic libraries and their patrons, APA is particip"&amp;"ating in the ProQuest Ebook Central program to provide unlimited access through June 19 to APA books that are included in Ebook Central.  We’re also participating in the EBSCO eBooks programand that allows an unlimited number of simultaneous ebook users t"&amp;"hrough the end of June.
We have a curated and continually updated collection of freely available APA journal articles examining the psychological impact of a pandemic, the effects of economic stress on mental health, telehealth, and other topics related "&amp;"to the current crisis.https://www.apa.org/pubs/highlights/covid-19-articles
For both clinicians and the general public, APA has a continually updated pandemics resource. https://www.apa.org/practice/programs/dmhi/research-information/pandemics")</f>
        <v>APA Publishing is helping to support our customers during this challenging time by making a variety of resources freely available. For students and faculty at colleges and universities that have shut down their campuses and moved classes online, we are allowing instructors to use PsycLearn: Research Methods content with their students at no cost for the remainder of this semester. The eight available modules of PsycLearn: Introduction to Social Psychology are also available. Interested educators should contact their APA Partnership Manager or email psyclearn@apa.org
APA’s distribution partners VitalSource and RedShelf are working to ensure that those affected continue to have access to a wide range of course content, including over 160 APA book titles and both the 6th and 7th editions of the Publication Manual of the American Psychological Association. Along with other participating publishers, VitalSource, and RedShelf, we are offering digital content free of charge through May 25, 2020.
With APA Style content in particular demand, librarians might also point their patrons to our free online seventh edition style and grammar guidelines.
https://apastyle.apa.org/style-grammar-guidelines/
To support academic libraries and their patrons, APA is participating in the ProQuest Ebook Central program to provide unlimited access through June 19 to APA books that are included in Ebook Central.  We’re also participating in the EBSCO eBooks programand that allows an unlimited number of simultaneous ebook users through the end of June.
We have a curated and continually updated collection of freely available APA journal articles examining the psychological impact of a pandemic, the effects of economic stress on mental health, telehealth, and other topics related to the current crisis.https://www.apa.org/pubs/highlights/covid-19-articles
For both clinicians and the general public, APA has a continually updated pandemics resource. https://www.apa.org/practice/programs/dmhi/research-information/pandemics</v>
      </c>
      <c r="C56" s="3" t="str">
        <f ca="1">IFERROR(__xludf.DUMMYFUNCTION("""COMPUTED_VALUE"""),"Linda Wobbe SCELC")</f>
        <v>Linda Wobbe SCELC</v>
      </c>
      <c r="D56" s="18">
        <f ca="1">IFERROR(__xludf.DUMMYFUNCTION("""COMPUTED_VALUE"""),43914)</f>
        <v>43914</v>
      </c>
      <c r="E56" s="12" t="str">
        <f ca="1">IFERROR(__xludf.DUMMYFUNCTION("""COMPUTED_VALUE"""),"Lookup Specifics")</f>
        <v>Lookup Specifics</v>
      </c>
      <c r="F56" s="13" t="str">
        <f ca="1">IFERROR(__xludf.DUMMYFUNCTION("""COMPUTED_VALUE"""),"")</f>
        <v/>
      </c>
    </row>
    <row r="57" spans="1:26" ht="50" x14ac:dyDescent="0.25">
      <c r="A57" s="4" t="str">
        <f ca="1">IFERROR(__xludf.DUMMYFUNCTION("""COMPUTED_VALUE"""),"Internet Archive")</f>
        <v>Internet Archive</v>
      </c>
      <c r="B57" s="21" t="str">
        <f ca="1">IFERROR(__xludf.DUMMYFUNCTION("""COMPUTED_VALUE"""),"To address our unprecedented global and immediate need for access to reading and research materials, as of today, March 24, 2020, the Internet Archive will suspend waitlists for the 1.4 million (and growing) books in our lending library by creating a Nati"&amp;"onal Emergency Library to serve the nation’s displaced learners. This suspension will run through June 30, 2020, or the end of the US national emergency, whichever is later.")</f>
        <v>To address our unprecedented global and immediate need for access to reading and research materials, as of today, March 24, 2020, the Internet Archive will suspend waitlists for the 1.4 million (and growing) books in our lending library by creating a National Emergency Library to serve the nation’s displaced learners. This suspension will run through June 30, 2020, or the end of the US national emergency, whichever is later.</v>
      </c>
      <c r="C57" s="3" t="str">
        <f ca="1">IFERROR(__xludf.DUMMYFUNCTION("""COMPUTED_VALUE"""),"Aaron Binchy")</f>
        <v>Aaron Binchy</v>
      </c>
      <c r="D57" s="18">
        <f ca="1">IFERROR(__xludf.DUMMYFUNCTION("""COMPUTED_VALUE"""),43915)</f>
        <v>43915</v>
      </c>
      <c r="E57" s="12" t="str">
        <f ca="1">IFERROR(__xludf.DUMMYFUNCTION("""COMPUTED_VALUE"""),"Lookup Specifics")</f>
        <v>Lookup Specifics</v>
      </c>
      <c r="F57" s="13" t="str">
        <f ca="1">IFERROR(__xludf.DUMMYFUNCTION("""COMPUTED_VALUE"""),"")</f>
        <v/>
      </c>
    </row>
    <row r="58" spans="1:26" ht="37.5" x14ac:dyDescent="0.25">
      <c r="A58" s="4" t="str">
        <f ca="1">IFERROR(__xludf.DUMMYFUNCTION("""COMPUTED_VALUE"""),"New York Times")</f>
        <v>New York Times</v>
      </c>
      <c r="B58" s="10" t="str">
        <f ca="1">IFERROR(__xludf.DUMMYFUNCTION("""COMPUTED_VALUE"""),"We are providing free access to the most up-to-date information and guidance on the coronavirus at http://nytimes.com/coronavirus
To gain access, you may be asked to register for a free account using your email address.")</f>
        <v>We are providing free access to the most up-to-date information and guidance on the coronavirus at http://nytimes.com/coronavirus
To gain access, you may be asked to register for a free account using your email address.</v>
      </c>
      <c r="C58" s="3" t="str">
        <f ca="1">IFERROR(__xludf.DUMMYFUNCTION("""COMPUTED_VALUE"""),"Stephanie Tettamanti CSAL")</f>
        <v>Stephanie Tettamanti CSAL</v>
      </c>
      <c r="D58" s="18">
        <f ca="1">IFERROR(__xludf.DUMMYFUNCTION("""COMPUTED_VALUE"""),43915)</f>
        <v>43915</v>
      </c>
      <c r="E58" s="12" t="str">
        <f ca="1">IFERROR(__xludf.DUMMYFUNCTION("""COMPUTED_VALUE"""),"Lookup Specifics")</f>
        <v>Lookup Specifics</v>
      </c>
      <c r="F58" s="13" t="str">
        <f ca="1">IFERROR(__xludf.DUMMYFUNCTION("""COMPUTED_VALUE"""),"")</f>
        <v/>
      </c>
    </row>
    <row r="59" spans="1:26" ht="87.5" x14ac:dyDescent="0.25">
      <c r="A59" s="4" t="str">
        <f ca="1">IFERROR(__xludf.DUMMYFUNCTION("""COMPUTED_VALUE"""),"Royal Society Publishing ")</f>
        <v xml:space="preserve">Royal Society Publishing </v>
      </c>
      <c r="B59" s="10" t="str">
        <f ca="1">IFERROR(__xludf.DUMMYFUNCTION("""COMPUTED_VALUE"""),"I hope you are safe and well. I would like to take the opportunity to share some relevant information on behalf of the publisher The Royal Society. Following the decision of the publisher to make our relevant COVID-19 content free to access, The Royal Soc"&amp;"iety has now decided to remove all access controls on our journals for the time being. The publisher wants to support our librarian and researcher communities, and understands that people may be working remotely for some time. The Royal Society does not w"&amp;"ant access issues to impede any work for our end users during this time. As the paywall will be down this means that customers &amp; non-customers will have access during this time: https://royalsociety.org/journals/#listing")</f>
        <v>I hope you are safe and well. I would like to take the opportunity to share some relevant information on behalf of the publisher The Royal Society. Following the decision of the publisher to make our relevant COVID-19 content free to access, The Royal Society has now decided to remove all access controls on our journals for the time being. The publisher wants to support our librarian and researcher communities, and understands that people may be working remotely for some time. The Royal Society does not want access issues to impede any work for our end users during this time. As the paywall will be down this means that customers &amp; non-customers will have access during this time: https://royalsociety.org/journals/#listing</v>
      </c>
      <c r="C59" s="3" t="str">
        <f ca="1">IFERROR(__xludf.DUMMYFUNCTION("""COMPUTED_VALUE"""),"Pim Slot SURFmarket")</f>
        <v>Pim Slot SURFmarket</v>
      </c>
      <c r="D59" s="18">
        <f ca="1">IFERROR(__xludf.DUMMYFUNCTION("""COMPUTED_VALUE"""),43915)</f>
        <v>43915</v>
      </c>
      <c r="E59" s="12" t="str">
        <f ca="1">IFERROR(__xludf.DUMMYFUNCTION("""COMPUTED_VALUE"""),"Lookup Specifics")</f>
        <v>Lookup Specifics</v>
      </c>
      <c r="F59" s="15" t="str">
        <f ca="1">IFERROR(__xludf.DUMMYFUNCTION("""COMPUTED_VALUE"""),"https://royalsociety.org/about-us/terms-conditions-policies/cookies/")</f>
        <v>https://royalsociety.org/about-us/terms-conditions-policies/cookies/</v>
      </c>
    </row>
    <row r="60" spans="1:26" ht="62.5" x14ac:dyDescent="0.25">
      <c r="A60" s="4" t="str">
        <f ca="1">IFERROR(__xludf.DUMMYFUNCTION("""COMPUTED_VALUE"""),"Accucoms")</f>
        <v>Accucoms</v>
      </c>
      <c r="B60" s="10" t="str">
        <f ca="1">IFERROR(__xludf.DUMMYFUNCTION("""COMPUTED_VALUE"""),"Accucoms works closely with several publishers that have signed the Wellcome Trust-coordinated initiave for making COVID-19 content freely available to help the pandemic. This link brings you to the list of resources from different publishers: https://acu"&amp;"o.campaign-view.com/ua/SharedView?od=2d5a885a69b60a972e5f9bf3209e74d5e1185630859ca1fd0&amp;cno=11a2b0b1f9aebf5&amp;cd=12704ec6858a1919&amp;m=0")</f>
        <v>Accucoms works closely with several publishers that have signed the Wellcome Trust-coordinated initiave for making COVID-19 content freely available to help the pandemic. This link brings you to the list of resources from different publishers: https://acuo.campaign-view.com/ua/SharedView?od=2d5a885a69b60a972e5f9bf3209e74d5e1185630859ca1fd0&amp;cno=11a2b0b1f9aebf5&amp;cd=12704ec6858a1919&amp;m=0</v>
      </c>
      <c r="C60" s="3" t="str">
        <f ca="1">IFERROR(__xludf.DUMMYFUNCTION("""COMPUTED_VALUE"""),"Pim Slot SURFmarket")</f>
        <v>Pim Slot SURFmarket</v>
      </c>
      <c r="D60" s="22">
        <f ca="1">IFERROR(__xludf.DUMMYFUNCTION("""COMPUTED_VALUE"""),43915)</f>
        <v>43915</v>
      </c>
      <c r="E60" s="14" t="str">
        <f ca="1">IFERROR(__xludf.DUMMYFUNCTION("""COMPUTED_VALUE"""),"Lookup Specifics")</f>
        <v>Lookup Specifics</v>
      </c>
      <c r="F60" s="13" t="str">
        <f ca="1">IFERROR(__xludf.DUMMYFUNCTION("""COMPUTED_VALUE"""),"")</f>
        <v/>
      </c>
    </row>
    <row r="61" spans="1:26" ht="387.5" x14ac:dyDescent="0.25">
      <c r="A61" s="4" t="str">
        <f ca="1">IFERROR(__xludf.DUMMYFUNCTION("""COMPUTED_VALUE"""),"Brepols")</f>
        <v>Brepols</v>
      </c>
      <c r="B61" s="10" t="str">
        <f ca="1">IFERROR(__xludf.DUMMYFUNCTION("""COMPUTED_VALUE"""),"1.	FREE READ ONLY ACCESS TO BACKLIST:
Online Journals (content up till 2011, current subscribers have complimentary access to the last 10 years)
Read only access can be activated to the following journal archives (at least until the end of May 2020):
-"&amp;"       Analecta Bollandiana – Antiquité Tardive – Apocrypha – Bulletin de philosophie médiévale – European Medieval Drama – Food &amp; History – Hortus Artium Medievalium – The Journal of Medieval Latin – Les lettres romanes – Manuscripta – Mediaeval Studies "&amp;"- Le moyen français – Nottingham Medieval Studies – Peritia – Publications du Centre Européen d’Etudes Bourguignonnes – Quaestio – Revue Bénédictine – Romance Philology – Sacris Erudiri – Viator
N.B.: Since this content will not be added to your library "&amp;"catalogue, we kindly ask you to actively promote this offer to your academic staff and students through your usual communication channels.
Online Books (content up till 2017):
Read only access can be activated to the following eBook collection (at le"&amp;"ast until the end of May 2020):
-       Brepols Complete = online access to more than 1,600 miscellany volumes &amp; monographs in a wide range of research areas in the Humanities (published until end 2017)
N.B.: Since this content will not be added to your"&amp;" library catalogue, we kindly ask you to actively promote this offer to your academic staff and students through your usual communication channels.
2.	READ ONLY ACCESS TO RECENT eBOOKS (2018-2020):
Read only access to almost 200 recent eBooks, publis"&amp;"hed between 2018 and 2020, can be acquired for € 500 (excl. VAT). Access available at least until the end of May 2020.
N.B.: Since this content will not be added to your library catalogue, we kindly ask you to actively promote this offer to your academic"&amp;" staff and students through your usual communication channels.
3.	PERPETUAL ACCESS TO RECENT eBOOKS (2018-2020):
Perpetual access to the most recent eBook Collections can be acquired at special discount prices. Moreover, if you buy read only access t"&amp;"ill the end of May 2020 (see option 2), we will deduct that amount from the price of the eBook Collections. Please contact our Customer Care Department for a price quotation: online@brepols.net
4.	DATABASE ACCESS EXTENDED TO UNLIMITED SIMULTANEOUS USE"&amp;"
Brepols will be waiving all simultaneous user limits for online databases licensed from Brepols and hosted on www.brepolis.net (at least until the end of May 2020).
")</f>
        <v xml:space="preserve">1.	FREE READ ONLY ACCESS TO BACKLIST:
Online Journals (content up till 2011, current subscribers have complimentary access to the last 10 years)
Read only access can be activated to the following journal archives (at least until the end of May 2020):
-       Analecta Bollandiana – Antiquité Tardive – Apocrypha – Bulletin de philosophie médiévale – European Medieval Drama – Food &amp; History – Hortus Artium Medievalium – The Journal of Medieval Latin – Les lettres romanes – Manuscripta – Mediaeval Studies - Le moyen français – Nottingham Medieval Studies – Peritia – Publications du Centre Européen d’Etudes Bourguignonnes – Quaestio – Revue Bénédictine – Romance Philology – Sacris Erudiri – Viator
N.B.: Since this content will not be added to your library catalogue, we kindly ask you to actively promote this offer to your academic staff and students through your usual communication channels.
Online Books (content up till 2017):
Read only access can be activated to the following eBook collection (at least until the end of May 2020):
-       Brepols Complete = online access to more than 1,600 miscellany volumes &amp; monographs in a wide range of research areas in the Humanities (published until end 2017)
N.B.: Since this content will not be added to your library catalogue, we kindly ask you to actively promote this offer to your academic staff and students through your usual communication channels.
2.	READ ONLY ACCESS TO RECENT eBOOKS (2018-2020):
Read only access to almost 200 recent eBooks, published between 2018 and 2020, can be acquired for € 500 (excl. VAT). Access available at least until the end of May 2020.
N.B.: Since this content will not be added to your library catalogue, we kindly ask you to actively promote this offer to your academic staff and students through your usual communication channels.
3.	PERPETUAL ACCESS TO RECENT eBOOKS (2018-2020):
Perpetual access to the most recent eBook Collections can be acquired at special discount prices. Moreover, if you buy read only access till the end of May 2020 (see option 2), we will deduct that amount from the price of the eBook Collections. Please contact our Customer Care Department for a price quotation: online@brepols.net
4.	DATABASE ACCESS EXTENDED TO UNLIMITED SIMULTANEOUS USE
Brepols will be waiving all simultaneous user limits for online databases licensed from Brepols and hosted on www.brepolis.net (at least until the end of May 2020).
</v>
      </c>
      <c r="C61" s="3" t="str">
        <f ca="1">IFERROR(__xludf.DUMMYFUNCTION("""COMPUTED_VALUE"""),"Pim Slot SURFmarket")</f>
        <v>Pim Slot SURFmarket</v>
      </c>
      <c r="D61" s="23">
        <f ca="1">IFERROR(__xludf.DUMMYFUNCTION("""COMPUTED_VALUE"""),43916)</f>
        <v>43916</v>
      </c>
      <c r="E61" s="12" t="str">
        <f ca="1">IFERROR(__xludf.DUMMYFUNCTION("""COMPUTED_VALUE"""),"Lookup Specifics")</f>
        <v>Lookup Specifics</v>
      </c>
      <c r="F61" s="13" t="str">
        <f ca="1">IFERROR(__xludf.DUMMYFUNCTION("""COMPUTED_VALUE"""),"")</f>
        <v/>
      </c>
    </row>
    <row r="62" spans="1:26" ht="50" x14ac:dyDescent="0.25">
      <c r="A62" s="4" t="str">
        <f ca="1">IFERROR(__xludf.DUMMYFUNCTION("""COMPUTED_VALUE"""),"Index of Medieval Art")</f>
        <v>Index of Medieval Art</v>
      </c>
      <c r="B62" s="10" t="str">
        <f ca="1">IFERROR(__xludf.DUMMYFUNCTION("""COMPUTED_VALUE"""),"In recognition of the challenges faced by students, faculty, and researchers now working on line in response to the COVID-19 pandemic, the Index of Medieval Art at Princeton University has made its online database open-access until June 1, 2020. As always"&amp;", the database can be accessed at https://theindex.princeton.edu/. Index staff will continue to respond to research inquiries sent via our home page at https://ima.princeton.edu/research-inquiries/.")</f>
        <v>In recognition of the challenges faced by students, faculty, and researchers now working on line in response to the COVID-19 pandemic, the Index of Medieval Art at Princeton University has made its online database open-access until June 1, 2020. As always, the database can be accessed at https://theindex.princeton.edu/. Index staff will continue to respond to research inquiries sent via our home page at https://ima.princeton.edu/research-inquiries/.</v>
      </c>
      <c r="C62" s="3" t="str">
        <f ca="1">IFERROR(__xludf.DUMMYFUNCTION("""COMPUTED_VALUE"""),"Loretta Rogger CSAL")</f>
        <v>Loretta Rogger CSAL</v>
      </c>
      <c r="D62" s="23">
        <f ca="1">IFERROR(__xludf.DUMMYFUNCTION("""COMPUTED_VALUE"""),43916)</f>
        <v>43916</v>
      </c>
      <c r="E62" s="12" t="str">
        <f ca="1">IFERROR(__xludf.DUMMYFUNCTION("""COMPUTED_VALUE"""),"Lookup Specifics")</f>
        <v>Lookup Specifics</v>
      </c>
      <c r="F62" s="13" t="str">
        <f ca="1">IFERROR(__xludf.DUMMYFUNCTION("""COMPUTED_VALUE"""),"")</f>
        <v/>
      </c>
    </row>
    <row r="63" spans="1:26" ht="237.5" x14ac:dyDescent="0.25">
      <c r="A63" s="4" t="str">
        <f ca="1">IFERROR(__xludf.DUMMYFUNCTION("""COMPUTED_VALUE"""),"APA")</f>
        <v>APA</v>
      </c>
      <c r="B63" s="10" t="str">
        <f ca="1">IFERROR(__xludf.DUMMYFUNCTION("""COMPUTED_VALUE"""),"To support academic libraries and their patrons, APA is participating in the ProQuest Ebook Central program(https://www.proquest.com/blog/pqblog/2020/Coronavirus-Impacted-Libraries-Get-Unlimited-Access-to-Ebook-Central.html) to provide unlimited access th"&amp;"rough June 19 to APA books that are included in Ebook Central.  We’re also participating in the EBSCO eBooks program (https://more.ebsco.com/eBooks-Upgraded-Access-2020.html) and that allows an unlimited number of simultaneous ebook users through the end "&amp;"of June.
With APA Style content in particular demand, librarians might also point their patrons to our free online seventh edition style and grammar guidelines (https://apastyle.apa.org/style-grammar-guidelines/).
We have a curated and continually updated"&amp;" collection of freely available APA journal articles examining the psychological impact of a pandemic (https://www.apa.org/pubs/highlights/covid-19-articles), the effects of economic stress on mental health, telehealth, and other topics related to the cur"&amp;"rent crisis.
For both clinicians and the general public, APA has a continually updated pandemics resource (https://www.apa.org/practice/programs/dmhi/research-information/pandemics). Of particular interest may be this article on “Seven crucial research fi"&amp;"ndings that can help people deal with COVID-19 (https://www.apa.org/news/apa/2020/03/covid-19-research-findings).
APA is urgently exploring other options for making our book content available to educators and students globally, and we’ll update you with t"&amp;"hat information as it becomes available.
All hyperlinks to the content are embedded in the text. If you can’t click on them, let me know and I can send in different format.  Please let us know if there are any questions or needs.
Additionally, APA can off"&amp;"er longer trial period for other resources. We are happy to discuss case by case.")</f>
        <v>To support academic libraries and their patrons, APA is participating in the ProQuest Ebook Central program(https://www.proquest.com/blog/pqblog/2020/Coronavirus-Impacted-Libraries-Get-Unlimited-Access-to-Ebook-Central.html) to provide unlimited access through June 19 to APA books that are included in Ebook Central.  We’re also participating in the EBSCO eBooks program (https://more.ebsco.com/eBooks-Upgraded-Access-2020.html) and that allows an unlimited number of simultaneous ebook users through the end of June.
With APA Style content in particular demand, librarians might also point their patrons to our free online seventh edition style and grammar guidelines (https://apastyle.apa.org/style-grammar-guidelines/).
We have a curated and continually updated collection of freely available APA journal articles examining the psychological impact of a pandemic (https://www.apa.org/pubs/highlights/covid-19-articles), the effects of economic stress on mental health, telehealth, and other topics related to the current crisis.
For both clinicians and the general public, APA has a continually updated pandemics resource (https://www.apa.org/practice/programs/dmhi/research-information/pandemics). Of particular interest may be this article on “Seven crucial research findings that can help people deal with COVID-19 (https://www.apa.org/news/apa/2020/03/covid-19-research-findings).
APA is urgently exploring other options for making our book content available to educators and students globally, and we’ll update you with that information as it becomes available.
All hyperlinks to the content are embedded in the text. If you can’t click on them, let me know and I can send in different format.  Please let us know if there are any questions or needs.
Additionally, APA can offer longer trial period for other resources. We are happy to discuss case by case.</v>
      </c>
      <c r="C63" s="3" t="str">
        <f ca="1">IFERROR(__xludf.DUMMYFUNCTION("""COMPUTED_VALUE"""),"Stephanie Tettamanti CSAL")</f>
        <v>Stephanie Tettamanti CSAL</v>
      </c>
      <c r="D63" s="23">
        <f ca="1">IFERROR(__xludf.DUMMYFUNCTION("""COMPUTED_VALUE"""),43917)</f>
        <v>43917</v>
      </c>
      <c r="E63" s="14" t="str">
        <f ca="1">IFERROR(__xludf.DUMMYFUNCTION("""COMPUTED_VALUE"""),"Lookup Specifics")</f>
        <v>Lookup Specifics</v>
      </c>
      <c r="F63" s="13" t="str">
        <f ca="1">IFERROR(__xludf.DUMMYFUNCTION("""COMPUTED_VALUE"""),"")</f>
        <v/>
      </c>
    </row>
    <row r="64" spans="1:26" ht="25" x14ac:dyDescent="0.25">
      <c r="A64" s="4" t="str">
        <f ca="1">IFERROR(__xludf.DUMMYFUNCTION("""COMPUTED_VALUE"""),"Kluwer Law International")</f>
        <v>Kluwer Law International</v>
      </c>
      <c r="B64" s="10" t="str">
        <f ca="1">IFERROR(__xludf.DUMMYFUNCTION("""COMPUTED_VALUE"""),"Our Legal &amp; Regulatory US business has made the following page available, which is focused on resources for legal professionals: https://lrus.wolterskluwer.com/campaign/coronavirus-resources-tools-covid-19/ ")</f>
        <v xml:space="preserve">Our Legal &amp; Regulatory US business has made the following page available, which is focused on resources for legal professionals: https://lrus.wolterskluwer.com/campaign/coronavirus-resources-tools-covid-19/ </v>
      </c>
      <c r="C64" s="3" t="str">
        <f ca="1">IFERROR(__xludf.DUMMYFUNCTION("""COMPUTED_VALUE"""),"Loretta Rogger CSAL")</f>
        <v>Loretta Rogger CSAL</v>
      </c>
      <c r="D64" s="23">
        <f ca="1">IFERROR(__xludf.DUMMYFUNCTION("""COMPUTED_VALUE"""),43917)</f>
        <v>43917</v>
      </c>
      <c r="E64" s="14" t="str">
        <f ca="1">IFERROR(__xludf.DUMMYFUNCTION("""COMPUTED_VALUE"""),"Lookup Specifics")</f>
        <v>Lookup Specifics</v>
      </c>
      <c r="F64" s="13" t="str">
        <f ca="1">IFERROR(__xludf.DUMMYFUNCTION("""COMPUTED_VALUE"""),"")</f>
        <v/>
      </c>
    </row>
    <row r="65" spans="1:6" ht="300" x14ac:dyDescent="0.25">
      <c r="A65" s="4" t="str">
        <f ca="1">IFERROR(__xludf.DUMMYFUNCTION("""COMPUTED_VALUE"""),"Karger")</f>
        <v>Karger</v>
      </c>
      <c r="B65" s="10" t="str">
        <f ca="1">IFERROR(__xludf.DUMMYFUNCTION("""COMPUTED_VALUE"""),"Um die Forschung zu unterstützen, stellt Karger seit Februar COVID-19 relevante Publikationen – Zeitschriften Artikel und Buch Kapitel – free access zur Verfügung. 
Das Karger COVID-19 article package (https://www.karger.com/Tap/Home/278492) bleibt aktuel"&amp;"l und frei zugänglich bis mindestens Ende 2020. 
Sollten Sie oder die Wissenschaftler*innen an Ihren Einrichtungen auf wichtige relevante Karger-Inhalte stossen, die nicht frei zugänglich sind, bitte lassen Sie es mich wissen. 
Wie viele andere medizinisc"&amp;"he Verlage haben wir uns dem Wellcome Statement Sharing research data and findings relevant to the novel coronavirus (COVID-19) outbreak (https://eur02.safelinks.protection.outlook.com/?url=https%3A%2F%2Fwellcome.ac.uk%2Fpress-release%2Fsharing-research-d"&amp;"ata-and-findings-relevant-novel-coronavirus-covid-19-outbreak&amp;data=02%7C01%7Cc.barris%40karger.com%7Ca3898d2c5ce7437de67308d7d09732bb%7C69e7eb606e904a0590b15b8d6d697087%7C0%7C0%7C637207220112137203&amp;sdata=BiP7nLycRSqahw2dDQivJTYWDZlWtX6%2FIIxXfE1oCXw%3D&amp;re"&amp;"served=0) angeschlossen und stellen alle unsere coronavirus-bezogenen Inhalte kostenlos zur Verfügung über PubMed Central, um die Herausforderung durch COVID-19 gemeinsam zu meistern und Leben zu retten.
Wir alle reden von SARS-CoV-2, COVID-19 und Coronav"&amp;"irus. Dabei laufen das Virus und die Erkrankung in der Forschungsliteratur unter vielen unterschiedlichen Bezeichnungen. In diesem Zusammenhang möchte ich Sie auf Qinsight (https://eur02.safelinks.protection.outlook.com/?url=https%3A%2F%2Fquertle.com%2Fpr"&amp;"oducts%2Fqinsight%2F&amp;data=02%7C01%7Cc.barris%40karger.com%7Ca3898d2c5ce7437de67308d7d09732bb%7C69e7eb606e904a0590b15b8d6d697087%7C0%7C0%7C637207220112142198&amp;sdata=BDSD1YItcU12w239xW2LlllWOqRtSODhYj5YrOoDLwk%3D&amp;reserved=0) hinweisen, eine KI-basierte ‘’sea"&amp;"rch and discovery’’ application, die speziell für die Suche in biomedizinischer Literatur entwickelt wurde und die entsprechenden Ontologien und Akronyme versteht. 
https://quertle.com/rapid-discovery-of-covid-19-information-using-qinsight/ 
Gerne richten"&amp;" wir einen 4-wöchigen Trial für Sie ein, damit Sie Qinsight testen und mit Ihren anderen search tools vergleichen können.
")</f>
        <v xml:space="preserve">Um die Forschung zu unterstützen, stellt Karger seit Februar COVID-19 relevante Publikationen – Zeitschriften Artikel und Buch Kapitel – free access zur Verfügung. 
Das Karger COVID-19 article package (https://www.karger.com/Tap/Home/278492) bleibt aktuell und frei zugänglich bis mindestens Ende 2020. 
Sollten Sie oder die Wissenschaftler*innen an Ihren Einrichtungen auf wichtige relevante Karger-Inhalte stossen, die nicht frei zugänglich sind, bitte lassen Sie es mich wissen. 
Wie viele andere medizinische Verlage haben wir uns dem Wellcome Statement Sharing research data and findings relevant to the novel coronavirus (COVID-19) outbreak (https://eur02.safelinks.protection.outlook.com/?url=https%3A%2F%2Fwellcome.ac.uk%2Fpress-release%2Fsharing-research-data-and-findings-relevant-novel-coronavirus-covid-19-outbreak&amp;data=02%7C01%7Cc.barris%40karger.com%7Ca3898d2c5ce7437de67308d7d09732bb%7C69e7eb606e904a0590b15b8d6d697087%7C0%7C0%7C637207220112137203&amp;sdata=BiP7nLycRSqahw2dDQivJTYWDZlWtX6%2FIIxXfE1oCXw%3D&amp;reserved=0) angeschlossen und stellen alle unsere coronavirus-bezogenen Inhalte kostenlos zur Verfügung über PubMed Central, um die Herausforderung durch COVID-19 gemeinsam zu meistern und Leben zu retten.
Wir alle reden von SARS-CoV-2, COVID-19 und Coronavirus. Dabei laufen das Virus und die Erkrankung in der Forschungsliteratur unter vielen unterschiedlichen Bezeichnungen. In diesem Zusammenhang möchte ich Sie auf Qinsight (https://eur02.safelinks.protection.outlook.com/?url=https%3A%2F%2Fquertle.com%2Fproducts%2Fqinsight%2F&amp;data=02%7C01%7Cc.barris%40karger.com%7Ca3898d2c5ce7437de67308d7d09732bb%7C69e7eb606e904a0590b15b8d6d697087%7C0%7C0%7C637207220112142198&amp;sdata=BDSD1YItcU12w239xW2LlllWOqRtSODhYj5YrOoDLwk%3D&amp;reserved=0) hinweisen, eine KI-basierte ‘’search and discovery’’ application, die speziell für die Suche in biomedizinischer Literatur entwickelt wurde und die entsprechenden Ontologien und Akronyme versteht. 
https://quertle.com/rapid-discovery-of-covid-19-information-using-qinsight/ 
Gerne richten wir einen 4-wöchigen Trial für Sie ein, damit Sie Qinsight testen und mit Ihren anderen search tools vergleichen können.
</v>
      </c>
      <c r="C65" s="3" t="str">
        <f ca="1">IFERROR(__xludf.DUMMYFUNCTION("""COMPUTED_VALUE"""),"Stephanie Tettamanti CSAL")</f>
        <v>Stephanie Tettamanti CSAL</v>
      </c>
      <c r="D65" s="23">
        <f ca="1">IFERROR(__xludf.DUMMYFUNCTION("""COMPUTED_VALUE"""),43917)</f>
        <v>43917</v>
      </c>
      <c r="E65" s="14" t="str">
        <f ca="1">IFERROR(__xludf.DUMMYFUNCTION("""COMPUTED_VALUE"""),"Lookup Specifics")</f>
        <v>Lookup Specifics</v>
      </c>
      <c r="F65" s="13" t="str">
        <f ca="1">IFERROR(__xludf.DUMMYFUNCTION("""COMPUTED_VALUE"""),"")</f>
        <v/>
      </c>
    </row>
    <row r="66" spans="1:6" ht="75" x14ac:dyDescent="0.25">
      <c r="A66" s="4" t="str">
        <f ca="1">IFERROR(__xludf.DUMMYFUNCTION("""COMPUTED_VALUE"""),"OECD iLibrary")</f>
        <v>OECD iLibrary</v>
      </c>
      <c r="B66" s="10" t="str">
        <f ca="1">IFERROR(__xludf.DUMMYFUNCTION("""COMPUTED_VALUE"""),"For the next few months, all content related to the global coronavirus crisis is fully accessible for all users. For users at subscribing institutions who work remotely from home we would like to remind you that you should have full access via the followi"&amp;"ng options: 1) IP authentication including access via proxy server – once logged in to your network, you can access subscribed content on this site, 2) Username and password – a single username/password can be shared across your user community for remote "&amp;"access, 3) Shibboleth Federated Access – if your institution uses Shibboleth authentication log in via the special Shibboleth page.")</f>
        <v>For the next few months, all content related to the global coronavirus crisis is fully accessible for all users. For users at subscribing institutions who work remotely from home we would like to remind you that you should have full access via the following options: 1) IP authentication including access via proxy server – once logged in to your network, you can access subscribed content on this site, 2) Username and password – a single username/password can be shared across your user community for remote access, 3) Shibboleth Federated Access – if your institution uses Shibboleth authentication log in via the special Shibboleth page.</v>
      </c>
      <c r="C66" s="3" t="str">
        <f ca="1">IFERROR(__xludf.DUMMYFUNCTION("""COMPUTED_VALUE"""),"Anina Koeppli, CSAL")</f>
        <v>Anina Koeppli, CSAL</v>
      </c>
      <c r="D66" s="23">
        <f ca="1">IFERROR(__xludf.DUMMYFUNCTION("""COMPUTED_VALUE"""),43917)</f>
        <v>43917</v>
      </c>
      <c r="E66" s="14" t="str">
        <f ca="1">IFERROR(__xludf.DUMMYFUNCTION("""COMPUTED_VALUE"""),"")</f>
        <v/>
      </c>
      <c r="F66" s="13" t="str">
        <f ca="1">IFERROR(__xludf.DUMMYFUNCTION("""COMPUTED_VALUE"""),"")</f>
        <v/>
      </c>
    </row>
    <row r="67" spans="1:6" ht="300" x14ac:dyDescent="0.25">
      <c r="A67" s="4" t="str">
        <f ca="1">IFERROR(__xludf.DUMMYFUNCTION("""COMPUTED_VALUE"""),"Infobase")</f>
        <v>Infobase</v>
      </c>
      <c r="B67" s="10" t="str">
        <f ca="1">IFERROR(__xludf.DUMMYFUNCTION("""COMPUTED_VALUE"""),"In an effort to help provide access to our database products for institutions that may not have access or funds at this point, Infobase is offering free trial access to the following databases through 4/30/20 for our Academic Virtual Classroom.  Let me kn"&amp;"ow if you have any questions or issues accessing the trial.  Be well and stay safe. 
Academic Virtual Classroom: 
User Name: distancelearning                    Password:  trial
All Available Products
http://online.infobaselearning.com/Direct.aspx?aid=28"&amp;"0528&amp;pid=WE00
•        All Available Products
http://online.infobaselearning.com/Direct.aspx?aid=280528&amp;pid=WE00
•        American History
https://online.infobaselearning.com/Direct.aspx?aid=280528&amp;pid=WE52
•        Ferguson's Career Guidance Center
https"&amp;"://online.infobaselearning.com/Direct.aspx?aid=280528&amp;pid=WE34
•        Bloom's Literature
https://online.infobaselearning.com/Direct.aspx?aid=280528&amp;pid=WE54
•        Writer's Reference Center
http://online.infobaselearning.com/Direct.aspx?aid=280528&amp;pid"&amp;"=WE03
•        World News Digest
https://online.infobaselearning.com/Direct.aspx?aid=280528&amp;pid=WE56
•        Issues &amp; Controversies
https://online.infobaselearning.com/Direct.aspx?aid=280528&amp;pid=WE57
•        Today's Science
https://online.infobaselearni"&amp;"ng.com/Direct.aspx?aid=280528&amp;pid=WE59
")</f>
        <v xml:space="preserve">In an effort to help provide access to our database products for institutions that may not have access or funds at this point, Infobase is offering free trial access to the following databases through 4/30/20 for our Academic Virtual Classroom.  Let me know if you have any questions or issues accessing the trial.  Be well and stay safe. 
Academic Virtual Classroom: 
User Name: distancelearning                    Password:  trial
All Available Products
http://online.infobaselearning.com/Direct.aspx?aid=280528&amp;pid=WE00
•        All Available Products
http://online.infobaselearning.com/Direct.aspx?aid=280528&amp;pid=WE00
•        American History
https://online.infobaselearning.com/Direct.aspx?aid=280528&amp;pid=WE52
•        Ferguson's Career Guidance Center
https://online.infobaselearning.com/Direct.aspx?aid=280528&amp;pid=WE34
•        Bloom's Literature
https://online.infobaselearning.com/Direct.aspx?aid=280528&amp;pid=WE54
•        Writer's Reference Center
http://online.infobaselearning.com/Direct.aspx?aid=280528&amp;pid=WE03
•        World News Digest
https://online.infobaselearning.com/Direct.aspx?aid=280528&amp;pid=WE56
•        Issues &amp; Controversies
https://online.infobaselearning.com/Direct.aspx?aid=280528&amp;pid=WE57
•        Today's Science
https://online.infobaselearning.com/Direct.aspx?aid=280528&amp;pid=WE59
</v>
      </c>
      <c r="C67" s="3" t="str">
        <f ca="1">IFERROR(__xludf.DUMMYFUNCTION("""COMPUTED_VALUE"""),"Carly Ryan SCELC via submission form")</f>
        <v>Carly Ryan SCELC via submission form</v>
      </c>
      <c r="D67" s="23">
        <f ca="1">IFERROR(__xludf.DUMMYFUNCTION("""COMPUTED_VALUE"""),43917)</f>
        <v>43917</v>
      </c>
      <c r="E67" s="12" t="str">
        <f ca="1">IFERROR(__xludf.DUMMYFUNCTION("""COMPUTED_VALUE"""),"Lookup Specifics")</f>
        <v>Lookup Specifics</v>
      </c>
      <c r="F67" s="13" t="str">
        <f ca="1">IFERROR(__xludf.DUMMYFUNCTION("""COMPUTED_VALUE"""),"")</f>
        <v/>
      </c>
    </row>
    <row r="68" spans="1:6" ht="37.5" x14ac:dyDescent="0.25">
      <c r="A68" s="4" t="str">
        <f ca="1">IFERROR(__xludf.DUMMYFUNCTION("""COMPUTED_VALUE"""),"Érudit")</f>
        <v>Érudit</v>
      </c>
      <c r="B68" s="10" t="str">
        <f ca="1">IFERROR(__xludf.DUMMYFUNCTION("""COMPUTED_VALUE"""),"Temporary removal of 12-month moving pay wall (currently in effect for 89 scholarly journals);  only the last 12 months of publication of these journals are in restricted access, the rest of the content being already offered in open access.")</f>
        <v>Temporary removal of 12-month moving pay wall (currently in effect for 89 scholarly journals);  only the last 12 months of publication of these journals are in restricted access, the rest of the content being already offered in open access.</v>
      </c>
      <c r="C68" s="3" t="str">
        <f ca="1">IFERROR(__xludf.DUMMYFUNCTION("""COMPUTED_VALUE"""),"ICOLC Complimentary Expanded Access Submission Form")</f>
        <v>ICOLC Complimentary Expanded Access Submission Form</v>
      </c>
      <c r="D68" s="23">
        <f ca="1">IFERROR(__xludf.DUMMYFUNCTION("""COMPUTED_VALUE"""),43920)</f>
        <v>43920</v>
      </c>
      <c r="E68" s="12" t="str">
        <f ca="1">IFERROR(__xludf.DUMMYFUNCTION("""COMPUTED_VALUE"""),"Lookup Specifics")</f>
        <v>Lookup Specifics</v>
      </c>
      <c r="F68" s="15" t="str">
        <f ca="1">IFERROR(__xludf.DUMMYFUNCTION("""COMPUTED_VALUE"""),"https://apropos.erudit.org/en/implementation-of-a-privacy-policy/")</f>
        <v>https://apropos.erudit.org/en/implementation-of-a-privacy-policy/</v>
      </c>
    </row>
    <row r="69" spans="1:6" ht="409.5" x14ac:dyDescent="0.25">
      <c r="A69" s="4" t="str">
        <f ca="1">IFERROR(__xludf.DUMMYFUNCTION("""COMPUTED_VALUE"""),"Wolters Kluwer (Ovid)")</f>
        <v>Wolters Kluwer (Ovid)</v>
      </c>
      <c r="B69" s="10" t="str">
        <f ca="1">IFERROR(__xludf.DUMMYFUNCTION("""COMPUTED_VALUE"""),"At Wolters Kluwer we understand the unique challenges colleges and universities are facing due to the COVID-19 pandemic and want to support our customers as they move to an online learning environment.  To help you make this transition, I would like to of"&amp;"fer your institution complimentary access to a selection of products for the next sixty days, complete with setup, support and training for users.  These products have been specifically selected as they can help your faculty and students with the challeng"&amp;"es of online learning.
	LWW Health Library 
o	Premium Basic Sciences
o	Clerkship
o	Board Review Series
o	Internal Medicine
o	Physician Assistant (Core and Specialties/Rotations)
o	Exercise Science
o	Physical Therapy
o	Occupational Therapy
o	Premium Pharm"&amp;"acy
	Firecracker 
	Firecracker PA
	Acland’s Atlas of Human Anatomy
	Bates Visual Guide
	5 Minute Clinical Consult
Our Ovid customer support and training teams are ready to help you get started.  To receive your complimentary access visit http://too"&amp;"ls.ovid.com/remotelearning/ and complete a brief request form. A member of our Ovid Customer Support team will contact you directly to begin the setup process. 
I hope that you will be able to utilize the resources we are offering and they provide some r"&amp;"elief to your students as they work to complete their studies. 
Please do not hesitate to let me know if you have any questions or if I can be assistance.
Best regards,
Shelley Singh
Regional Sales Manager 
Health Learning, Research &amp; Practice
647.460.7"&amp;"227 
Shelley.Singh@wolterskluwer.com
www.ovid.com
")</f>
        <v xml:space="preserve">At Wolters Kluwer we understand the unique challenges colleges and universities are facing due to the COVID-19 pandemic and want to support our customers as they move to an online learning environment.  To help you make this transition, I would like to offer your institution complimentary access to a selection of products for the next sixty days, complete with setup, support and training for users.  These products have been specifically selected as they can help your faculty and students with the challenges of online learning.
	LWW Health Library 
o	Premium Basic Sciences
o	Clerkship
o	Board Review Series
o	Internal Medicine
o	Physician Assistant (Core and Specialties/Rotations)
o	Exercise Science
o	Physical Therapy
o	Occupational Therapy
o	Premium Pharmacy
	Firecracker 
	Firecracker PA
	Acland’s Atlas of Human Anatomy
	Bates Visual Guide
	5 Minute Clinical Consult
Our Ovid customer support and training teams are ready to help you get started.  To receive your complimentary access visit http://tools.ovid.com/remotelearning/ and complete a brief request form. A member of our Ovid Customer Support team will contact you directly to begin the setup process. 
I hope that you will be able to utilize the resources we are offering and they provide some relief to your students as they work to complete their studies. 
Please do not hesitate to let me know if you have any questions or if I can be assistance.
Best regards,
Shelley Singh
Regional Sales Manager 
Health Learning, Research &amp; Practice
647.460.7227 
Shelley.Singh@wolterskluwer.com
www.ovid.com
</v>
      </c>
      <c r="C69" s="3" t="str">
        <f ca="1">IFERROR(__xludf.DUMMYFUNCTION("""COMPUTED_VALUE"""),"ICOLC Complimentary Expanded Access Submission Form")</f>
        <v>ICOLC Complimentary Expanded Access Submission Form</v>
      </c>
      <c r="D69" s="23">
        <f ca="1">IFERROR(__xludf.DUMMYFUNCTION("""COMPUTED_VALUE"""),43920)</f>
        <v>43920</v>
      </c>
      <c r="E69" s="14" t="str">
        <f ca="1">IFERROR(__xludf.DUMMYFUNCTION("""COMPUTED_VALUE"""),"Lookup Specifics")</f>
        <v>Lookup Specifics</v>
      </c>
      <c r="F69" s="13" t="str">
        <f ca="1">IFERROR(__xludf.DUMMYFUNCTION("""COMPUTED_VALUE"""),"")</f>
        <v/>
      </c>
    </row>
    <row r="70" spans="1:6" ht="137.5" x14ac:dyDescent="0.25">
      <c r="A70" s="4" t="str">
        <f ca="1">IFERROR(__xludf.DUMMYFUNCTION("""COMPUTED_VALUE"""),"DIGITALIA")</f>
        <v>DIGITALIA</v>
      </c>
      <c r="B70" s="10" t="str">
        <f ca="1">IFERROR(__xludf.DUMMYFUNCTION("""COMPUTED_VALUE"""),"I think we all know that we are in a difficult situation and that it is beyond all of us. We hope that you and your family members are in good health and that those who will be at home are as pleasant and helpful as possible.
        At Digitalia we are "&amp;"sensitive to this situation, and we want to support you during this very serious crisis. For this reason, and for a month, all those universities that want to access Digitalia Hispanica  www.digitaliapublishing.com  will be able to do it for free, so that"&amp;" their students and professors can have access to online materials that help them in their research and learning, comfortably from home.
        Please contact: info@digitalia.us   so that your libraries provide their IPs and request free access during t"&amp;"his period
        Digitalia")</f>
        <v>I think we all know that we are in a difficult situation and that it is beyond all of us. We hope that you and your family members are in good health and that those who will be at home are as pleasant and helpful as possible.
        At Digitalia we are sensitive to this situation, and we want to support you during this very serious crisis. For this reason, and for a month, all those universities that want to access Digitalia Hispanica  www.digitaliapublishing.com  will be able to do it for free, so that their students and professors can have access to online materials that help them in their research and learning, comfortably from home.
        Please contact: info@digitalia.us   so that your libraries provide their IPs and request free access during this period
        Digitalia</v>
      </c>
      <c r="C70" s="3" t="str">
        <f ca="1">IFERROR(__xludf.DUMMYFUNCTION("""COMPUTED_VALUE"""),"ICOLC Complimentary Expanded Access Submission Form")</f>
        <v>ICOLC Complimentary Expanded Access Submission Form</v>
      </c>
      <c r="D70" s="23">
        <f ca="1">IFERROR(__xludf.DUMMYFUNCTION("""COMPUTED_VALUE"""),43920)</f>
        <v>43920</v>
      </c>
      <c r="E70" s="14" t="str">
        <f ca="1">IFERROR(__xludf.DUMMYFUNCTION("""COMPUTED_VALUE"""),"Lookup Specifics")</f>
        <v>Lookup Specifics</v>
      </c>
      <c r="F70" s="13" t="str">
        <f ca="1">IFERROR(__xludf.DUMMYFUNCTION("""COMPUTED_VALUE"""),"")</f>
        <v/>
      </c>
    </row>
    <row r="71" spans="1:6" ht="237.5" x14ac:dyDescent="0.25">
      <c r="A71" s="4" t="str">
        <f ca="1">IFERROR(__xludf.DUMMYFUNCTION("""COMPUTED_VALUE"""),"Ravenpack")</f>
        <v>Ravenpack</v>
      </c>
      <c r="B71" s="10" t="str">
        <f ca="1">IFERROR(__xludf.DUMMYFUNCTION("""COMPUTED_VALUE"""),"Dear ,
Given the extraordinary number of requests we received, RavenPack has made public its COVID-19 news monitoring dashboard. You may access the dashboard below:
https://coronavirus.ravenpack.com/
No credentials are required to access the service"&amp;". Feel free to share with colleagues and friends. The application may also be displayed on company-wide monitors.
Let me know if you have any questions.
Best regards,
Client Services Team
clientservices@ravenpack.com")</f>
        <v>Dear ,
Given the extraordinary number of requests we received, RavenPack has made public its COVID-19 news monitoring dashboard. You may access the dashboard below:
https://coronavirus.ravenpack.com/
No credentials are required to access the service. Feel free to share with colleagues and friends. The application may also be displayed on company-wide monitors.
Let me know if you have any questions.
Best regards,
Client Services Team
clientservices@ravenpack.com</v>
      </c>
      <c r="C71" s="3" t="str">
        <f ca="1">IFERROR(__xludf.DUMMYFUNCTION("""COMPUTED_VALUE"""),"ICOLC Complimentary Expanded Access Submission Form")</f>
        <v>ICOLC Complimentary Expanded Access Submission Form</v>
      </c>
      <c r="D71" s="23">
        <f ca="1">IFERROR(__xludf.DUMMYFUNCTION("""COMPUTED_VALUE"""),43920)</f>
        <v>43920</v>
      </c>
      <c r="E71" s="12" t="str">
        <f ca="1">IFERROR(__xludf.DUMMYFUNCTION("""COMPUTED_VALUE"""),"Lookup Specifics")</f>
        <v>Lookup Specifics</v>
      </c>
      <c r="F71" s="15" t="str">
        <f ca="1">IFERROR(__xludf.DUMMYFUNCTION("""COMPUTED_VALUE"""),"https://www.ravenpack.com/privacy/")</f>
        <v>https://www.ravenpack.com/privacy/</v>
      </c>
    </row>
    <row r="72" spans="1:6" ht="409.5" x14ac:dyDescent="0.25">
      <c r="A72" s="4" t="str">
        <f ca="1">IFERROR(__xludf.DUMMYFUNCTION("""COMPUTED_VALUE"""),"University of Chicago Press")</f>
        <v>University of Chicago Press</v>
      </c>
      <c r="B72" s="10" t="str">
        <f ca="1">IFERROR(__xludf.DUMMYFUNCTION("""COMPUTED_VALUE"""),"SUMMARY:
Journals:
• We’ve turned on free access to COVID-19 related content (see: https://www.journals.uchicago.edu/coronavirus)
• We are encouraging current customers to add general or proxy IP addresses to their account if they need them for remote co"&amp;"ursework
• We are extending online access for all existing online customers to ensure continuous access if renewals get delayed
• We are activating electronic access to print-only subscribers as of April 1st
• Due to problems with delivery of issues, inst"&amp;"itutions that can’t receive print issues should contact us to put their issues on hold. We are happy to provide online access in the meantime. We can resume delivery when mail services resume operations. 
Books:
• Expanded access to e-books for course us"&amp;"e through many partner initiatives
• Virtual book fairs with applicable discounts
• E-books from the University of Chicago Press on sale for 30% Off
DETAIL:
JOURNALS (check https://www.journals.uchicago.edu/coronavirus for updates):
Electronic subscri"&amp;"ption access
As universities move to remote coursework, we encourage librarians to:
• Contact us at journalsupport@press.uchicago.edu to add new institutional and proxy IP ranges that might be used for remote access.
• Link your Shibboleth entity ID to yo"&amp;"ur University of Chicago Press account so patrons can log in directly through our site. To do so, contact journalsupport@press.uchicago.edu with your Shibboleth entity ID. You may also add the ID yourself by logging in to our site with your administrator "&amp;"credentials and visiting your ""My Account"" page. To add the ID, click ""Shibboleth"" in the ""Institutional Account"" menu.
Please contact journalsupport@press.uchicago.edu if you, your faculty, or your students experience any connectivity problems whi"&amp;"le accessing journals remotely. We have and will continue to address these issues quickly.
Electronic access to print-only journal subscriptions
Electronic access to print-only journal subscriptions is available upon request. Please email journalsupport@"&amp;"press.uchicago.edu to set up access.
Delivery of print editions
Due to supply chain disruptions, customers may see delays in delivery of print editions. We are making every effort to ensure that delivery will be made. If your institution is unable to rec"&amp;"eive mail, please email us as soon as possible at subscriptions@press.uchicago.edu. We will hold your issues until you can receive mail.
Subscription renewals
We understand that library customers may encounter delays while processing subscription payment"&amp;"s. To ensure no customers lose access to content they plan to renew, we are extending online access through the end of May for current institutions that have not yet renewed their 2020 subscriptions. We may extend this arrangement if necessary.
If you ar"&amp;"e an existing customer and have lost access, please contact us at subscriptions@press.uchicago.edu and we will address the issue as quickly as possible.
Interlibrary loan and copying
We are facilitating the interlibrary loan and e-learning needs of libra"&amp;"ries that subscribe to any of our journals by granting unlimited, fee-free copying through the end of June 2020. You may process interlibrary loan/e-learning copying requests from individuals or other libraries as you normally would, but you do not need t"&amp;"o track or report usage for the purpose of paying copyright fees. We may extend this arrangement if necessary.
Copyright and fair use
In accordance with our normal practice (https://www.journals.uchicago.edu/inst/perm-reprints), we will continue to allow"&amp;" all reuse of our content that falls under fair use provisions (see exception for interlibrary loan and e-learning above).
2021 rates
We are currently evaluating our 2021 rate plan in response to the disruption academic institutions will experience durin"&amp;"g this time. As a university press and a not-for-profit organization, we are dedicated to maintaining low rate increases every year, with all increases carefully considered in response to changing costs of production, editing, technology, volume, and the "&amp;"need to sustain the scholarship that we and our publishing partners support. Our team is in close communication with agents and librarians to better understand the unique hardships your institutions face each season. We are continuing that tradition and w"&amp;"ill provide information about 2021 rates as soon as possible.
Technology
Our content platform provider has been preparing aggressively to ensure business continuity in the face of a COVID-19 pandemic. We do not expect any service disruptions. If you expe"&amp;"rience a problem, please email us at journalsupport@press.uchicago.edu.
***
BOOKS (check https://pressblog.uchicago.edu/2020/03/18/expanded-e-book-access-and-virtual-bookfairs.html for updates)
We’re working with many partners in e-book delivery to ens"&amp;"ure that students have access to coursebooks. Many providers are also offering free access for online learning for qualifying schools during the pandemic. Your institution may qualify.
Here is a current list of our partner initiatives, which we will cont"&amp;"inue to update:
Expanded access to e-books for course use:
• ProQuest (library): Immediate upgrades for all purchased e-books at a library to unlimited concurrent multi-user status through mid-June.
• VitalSource (e-textbook): Free access to e-books for "&amp;"students who are finishing the semester at verified 2-4yr schools that have moved to online courses through May 25th.
• RedShelf (e-textbook): Free access to e-books for students who are finishing the semester at schools that have moved to online courses "&amp;"through May 25th.
• UPSO (library): Gratis trial access to all of UPSO + all Oxford platforms through the end of May 
• EBSCO (library): Immediate upgrades for all purchased e-books at a library to unlimited concurrent multi-user status through June 30.
•"&amp;" Follett Higher Ed (using whitelabel Redshelf services): Free access to e-books for students who are finishing the semester at schools that have moved to online courses through May 25th. 
• Gardners (library / retail): Immediate upgrades for all purchased"&amp;" e-books at a library to unlimited concurrent multi-user status through June 30th. 
• DeGruyter (library): Provide free access to all publisher content from 2016 and earlier on the DG platform from March 24 through the end of May 
Virtual book fairs
And "&amp;"for those who were looking forward to browsing our latest titles at spring conferences, we are creating virtual book fairs, where you can check out the latest titles and purchase them at the same great discounts with free shipping.
Visit these virtual bo"&amp;"ok fairs and check back for more as they are added:
• Associated Writing Programs: http://bit.ly/UCPEXAWP
• Association for Asian Studies: http://bit.ly/UCPEXAAS
• American Comparative Literature Association: http://bit.ly/UCPEXACLA
• International Studi"&amp;"es Association: http://bit.ly/UCPEXISA
E-books from the University of Chicago Press on sale for 30% Off
In response to the Illinois Stay-at-Home Order and with the greatest concern for the health and welfare of our staff and the greater community, we hav"&amp;"e decided to temporarily close the Chicago Distribution Center (CDC) effective Monday, March 23. The CDC will remain closed for the duration that the Stay-at-Home order is in effect, until April 7 or longer if required. 
Though print book orders for our "&amp;"titles are delayed, all e-books published by the University of Chicago Press are available and on sale at 30% off using code EBOOK30 at checkout through our website: https://www.press.uchicago.edu/index.html
")</f>
        <v xml:space="preserve">SUMMARY:
Journals:
• We’ve turned on free access to COVID-19 related content (see: https://www.journals.uchicago.edu/coronavirus)
• We are encouraging current customers to add general or proxy IP addresses to their account if they need them for remote coursework
• We are extending online access for all existing online customers to ensure continuous access if renewals get delayed
• We are activating electronic access to print-only subscribers as of April 1st
• Due to problems with delivery of issues, institutions that can’t receive print issues should contact us to put their issues on hold. We are happy to provide online access in the meantime. We can resume delivery when mail services resume operations. 
Books:
• Expanded access to e-books for course use through many partner initiatives
• Virtual book fairs with applicable discounts
• E-books from the University of Chicago Press on sale for 30% Off
DETAIL:
JOURNALS (check https://www.journals.uchicago.edu/coronavirus for updates):
Electronic subscription access
As universities move to remote coursework, we encourage librarians to:
• Contact us at journalsupport@press.uchicago.edu to add new institutional and proxy IP ranges that might be used for remote access.
• Link your Shibboleth entity ID to your University of Chicago Press account so patrons can log in directly through our site. To do so, contact journalsupport@press.uchicago.edu with your Shibboleth entity ID. You may also add the ID yourself by logging in to our site with your administrator credentials and visiting your "My Account" page. To add the ID, click "Shibboleth" in the "Institutional Account" menu.
Please contact journalsupport@press.uchicago.edu if you, your faculty, or your students experience any connectivity problems while accessing journals remotely. We have and will continue to address these issues quickly.
Electronic access to print-only journal subscriptions
Electronic access to print-only journal subscriptions is available upon request. Please email journalsupport@press.uchicago.edu to set up access.
Delivery of print editions
Due to supply chain disruptions, customers may see delays in delivery of print editions. We are making every effort to ensure that delivery will be made. If your institution is unable to receive mail, please email us as soon as possible at subscriptions@press.uchicago.edu. We will hold your issues until you can receive mail.
Subscription renewals
We understand that library customers may encounter delays while processing subscription payments. To ensure no customers lose access to content they plan to renew, we are extending online access through the end of May for current institutions that have not yet renewed their 2020 subscriptions. We may extend this arrangement if necessary.
If you are an existing customer and have lost access, please contact us at subscriptions@press.uchicago.edu and we will address the issue as quickly as possible.
Interlibrary loan and copying
We are facilitating the interlibrary loan and e-learning needs of libraries that subscribe to any of our journals by granting unlimited, fee-free copying through the end of June 2020. You may process interlibrary loan/e-learning copying requests from individuals or other libraries as you normally would, but you do not need to track or report usage for the purpose of paying copyright fees. We may extend this arrangement if necessary.
Copyright and fair use
In accordance with our normal practice (https://www.journals.uchicago.edu/inst/perm-reprints), we will continue to allow all reuse of our content that falls under fair use provisions (see exception for interlibrary loan and e-learning above).
2021 rates
We are currently evaluating our 2021 rate plan in response to the disruption academic institutions will experience during this time. As a university press and a not-for-profit organization, we are dedicated to maintaining low rate increases every year, with all increases carefully considered in response to changing costs of production, editing, technology, volume, and the need to sustain the scholarship that we and our publishing partners support. Our team is in close communication with agents and librarians to better understand the unique hardships your institutions face each season. We are continuing that tradition and will provide information about 2021 rates as soon as possible.
Technology
Our content platform provider has been preparing aggressively to ensure business continuity in the face of a COVID-19 pandemic. We do not expect any service disruptions. If you experience a problem, please email us at journalsupport@press.uchicago.edu.
***
BOOKS (check https://pressblog.uchicago.edu/2020/03/18/expanded-e-book-access-and-virtual-bookfairs.html for updates)
We’re working with many partners in e-book delivery to ensure that students have access to coursebooks. Many providers are also offering free access for online learning for qualifying schools during the pandemic. Your institution may qualify.
Here is a current list of our partner initiatives, which we will continue to update:
Expanded access to e-books for course use:
• ProQuest (library): Immediate upgrades for all purchased e-books at a library to unlimited concurrent multi-user status through mid-June.
• VitalSource (e-textbook): Free access to e-books for students who are finishing the semester at verified 2-4yr schools that have moved to online courses through May 25th.
• RedShelf (e-textbook): Free access to e-books for students who are finishing the semester at schools that have moved to online courses through May 25th.
• UPSO (library): Gratis trial access to all of UPSO + all Oxford platforms through the end of May 
• EBSCO (library): Immediate upgrades for all purchased e-books at a library to unlimited concurrent multi-user status through June 30.
• Follett Higher Ed (using whitelabel Redshelf services): Free access to e-books for students who are finishing the semester at schools that have moved to online courses through May 25th. 
• Gardners (library / retail): Immediate upgrades for all purchased e-books at a library to unlimited concurrent multi-user status through June 30th. 
• DeGruyter (library): Provide free access to all publisher content from 2016 and earlier on the DG platform from March 24 through the end of May 
Virtual book fairs
And for those who were looking forward to browsing our latest titles at spring conferences, we are creating virtual book fairs, where you can check out the latest titles and purchase them at the same great discounts with free shipping.
Visit these virtual book fairs and check back for more as they are added:
• Associated Writing Programs: http://bit.ly/UCPEXAWP
• Association for Asian Studies: http://bit.ly/UCPEXAAS
• American Comparative Literature Association: http://bit.ly/UCPEXACLA
• International Studies Association: http://bit.ly/UCPEXISA
E-books from the University of Chicago Press on sale for 30% Off
In response to the Illinois Stay-at-Home Order and with the greatest concern for the health and welfare of our staff and the greater community, we have decided to temporarily close the Chicago Distribution Center (CDC) effective Monday, March 23. The CDC will remain closed for the duration that the Stay-at-Home order is in effect, until April 7 or longer if required. 
Though print book orders for our titles are delayed, all e-books published by the University of Chicago Press are available and on sale at 30% off using code EBOOK30 at checkout through our website: https://www.press.uchicago.edu/index.html
</v>
      </c>
      <c r="C72" s="3" t="str">
        <f ca="1">IFERROR(__xludf.DUMMYFUNCTION("""COMPUTED_VALUE"""),"ICOLC Complimentary Expanded Access Submission Form")</f>
        <v>ICOLC Complimentary Expanded Access Submission Form</v>
      </c>
      <c r="D72" s="23">
        <f ca="1">IFERROR(__xludf.DUMMYFUNCTION("""COMPUTED_VALUE"""),43920)</f>
        <v>43920</v>
      </c>
      <c r="E72" s="14" t="str">
        <f ca="1">IFERROR(__xludf.DUMMYFUNCTION("""COMPUTED_VALUE"""),"Lookup Specifics")</f>
        <v>Lookup Specifics</v>
      </c>
      <c r="F72" s="13" t="str">
        <f ca="1">IFERROR(__xludf.DUMMYFUNCTION("""COMPUTED_VALUE"""),"")</f>
        <v/>
      </c>
    </row>
    <row r="73" spans="1:6" ht="362.5" x14ac:dyDescent="0.25">
      <c r="A73" s="4" t="str">
        <f ca="1">IFERROR(__xludf.DUMMYFUNCTION("""COMPUTED_VALUE"""),"American Association for the Advancement of Science AAAS")</f>
        <v>American Association for the Advancement of Science AAAS</v>
      </c>
      <c r="B73" s="10" t="str">
        <f ca="1">IFERROR(__xludf.DUMMYFUNCTION("""COMPUTED_VALUE"""),"The American Association for the Advancement of Science and the Science family of journals are applying formidable resources to keep the scientific community and the public well informed on the coronavirus pandemic.
Science, published by AAAS, has shared"&amp;" research findings and made data swiftly available over recent weeks to spur scientific advances, outline public health opportunities to slow the spread of COVID-19, and help protect the wellbeing of people across the globe.
The journal has accelerated i"&amp;"ts publishing practices governing the release of research papers on coronavirus and urged scientists to post their submitted studies on preprint sites, all the while preserving the peer-review process to ensure the validity of the research published in th"&amp;"e journals.
In addition, Science and AAAS are working to ensure infectious disease researchers retain access to safe laboratories to facilitate their COVID-19 research and to keep the research community, policymakers and the public updated through quick-"&amp;"turnaround teleconferences, Facebook Live events and other outreach efforts based on the latest research and news published in Science.
Holden Thorp, editor-in-chief of Science, has been seeing to it that Science has coronavirus research papers reviewed "&amp;"as quickly as possible, promptly shares first release articles and makes them free to all. In addition, the News from Science team has been sharing regular updates on the latest research and reports from around the world. “Our top news reporters have beco"&amp;"me go-to sources for important news on the virus,” Thorp said. “And our Insights section is publishing commentary and ideas as quickly as we can.”
In a March 17 editorial, “Time to Pull Together,” Thorp called on institutions to limit their research work"&amp;" to the virus as well as clinical care and public health communications and urged fellow scientists to help virus researchers to ease challenges they are encountering such as finding childcare.
The journal Science Translational Medicine also published an"&amp;" editorial authored by experts on epidemiology, mathematics and two National Institutes of Health officials who called for prioritizing research on COVID-19 before focusing on the “confirmed cases and their geospatial spread.”")</f>
        <v>The American Association for the Advancement of Science and the Science family of journals are applying formidable resources to keep the scientific community and the public well informed on the coronavirus pandemic.
Science, published by AAAS, has shared research findings and made data swiftly available over recent weeks to spur scientific advances, outline public health opportunities to slow the spread of COVID-19, and help protect the wellbeing of people across the globe.
The journal has accelerated its publishing practices governing the release of research papers on coronavirus and urged scientists to post their submitted studies on preprint sites, all the while preserving the peer-review process to ensure the validity of the research published in the journals.
In addition, Science and AAAS are working to ensure infectious disease researchers retain access to safe laboratories to facilitate their COVID-19 research and to keep the research community, policymakers and the public updated through quick-turnaround teleconferences, Facebook Live events and other outreach efforts based on the latest research and news published in Science.
Holden Thorp, editor-in-chief of Science, has been seeing to it that Science has coronavirus research papers reviewed as quickly as possible, promptly shares first release articles and makes them free to all. In addition, the News from Science team has been sharing regular updates on the latest research and reports from around the world. “Our top news reporters have become go-to sources for important news on the virus,” Thorp said. “And our Insights section is publishing commentary and ideas as quickly as we can.”
In a March 17 editorial, “Time to Pull Together,” Thorp called on institutions to limit their research work to the virus as well as clinical care and public health communications and urged fellow scientists to help virus researchers to ease challenges they are encountering such as finding childcare.
The journal Science Translational Medicine also published an editorial authored by experts on epidemiology, mathematics and two National Institutes of Health officials who called for prioritizing research on COVID-19 before focusing on the “confirmed cases and their geospatial spread.”</v>
      </c>
      <c r="C73" s="3" t="str">
        <f ca="1">IFERROR(__xludf.DUMMYFUNCTION("""COMPUTED_VALUE"""),"ICOLC Complimentary Expanded Access Submission Form")</f>
        <v>ICOLC Complimentary Expanded Access Submission Form</v>
      </c>
      <c r="D73" s="23">
        <f ca="1">IFERROR(__xludf.DUMMYFUNCTION("""COMPUTED_VALUE"""),43920)</f>
        <v>43920</v>
      </c>
      <c r="E73" s="12" t="str">
        <f ca="1">IFERROR(__xludf.DUMMYFUNCTION("""COMPUTED_VALUE"""),"Lookup Specifics")</f>
        <v>Lookup Specifics</v>
      </c>
      <c r="F73" s="13" t="str">
        <f ca="1">IFERROR(__xludf.DUMMYFUNCTION("""COMPUTED_VALUE"""),"")</f>
        <v/>
      </c>
    </row>
    <row r="74" spans="1:6" ht="150" x14ac:dyDescent="0.25">
      <c r="A74" s="4" t="str">
        <f ca="1">IFERROR(__xludf.DUMMYFUNCTION("""COMPUTED_VALUE"""),"e-Marefa Database")</f>
        <v>e-Marefa Database</v>
      </c>
      <c r="B74" s="10" t="str">
        <f ca="1">IFERROR(__xludf.DUMMYFUNCTION("""COMPUTED_VALUE"""),"Dears,
In light of the global COVID-19 pandemic and the procedures of activating Virtual &amp; online learning which has become a key component in the continuity of studies for students and instructors.  We are eager to contribute by supporting these efforts"&amp;" in different regions around the world. 
Accordingly, we are pleased to provide members of Consortium of  with free accessibility for two months to e-Marefa specialized databases which contain huge and various online resources to enrich your online lear"&amp;"ning materials.
For more information on e-Marefa Database, Please visit our website: http://e-marefa.net/ 
Thanks,")</f>
        <v>Dears,
In light of the global COVID-19 pandemic and the procedures of activating Virtual &amp; online learning which has become a key component in the continuity of studies for students and instructors.  We are eager to contribute by supporting these efforts in different regions around the world. 
Accordingly, we are pleased to provide members of Consortium of  with free accessibility for two months to e-Marefa specialized databases which contain huge and various online resources to enrich your online learning materials.
For more information on e-Marefa Database, Please visit our website: http://e-marefa.net/ 
Thanks,</v>
      </c>
      <c r="C74" s="3" t="str">
        <f ca="1">IFERROR(__xludf.DUMMYFUNCTION("""COMPUTED_VALUE"""),"ICOLC Complimentary Expanded Access Submission Form")</f>
        <v>ICOLC Complimentary Expanded Access Submission Form</v>
      </c>
      <c r="D74" s="23">
        <f ca="1">IFERROR(__xludf.DUMMYFUNCTION("""COMPUTED_VALUE"""),43920)</f>
        <v>43920</v>
      </c>
      <c r="E74" s="14" t="str">
        <f ca="1">IFERROR(__xludf.DUMMYFUNCTION("""COMPUTED_VALUE"""),"Lookup Specifics")</f>
        <v>Lookup Specifics</v>
      </c>
      <c r="F74" s="13" t="str">
        <f ca="1">IFERROR(__xludf.DUMMYFUNCTION("""COMPUTED_VALUE"""),"")</f>
        <v/>
      </c>
    </row>
    <row r="75" spans="1:6" ht="137.5" x14ac:dyDescent="0.25">
      <c r="A75" s="4" t="str">
        <f ca="1">IFERROR(__xludf.DUMMYFUNCTION("""COMPUTED_VALUE"""),"Reprints Desk")</f>
        <v>Reprints Desk</v>
      </c>
      <c r="B75" s="10" t="str">
        <f ca="1">IFERROR(__xludf.DUMMYFUNCTION("""COMPUTED_VALUE"""),"""Many of you have been playing an important role in dealing with this crisis we’re facing, and we just want you to know that we are here to support you. Our service remains up and running, 24/7. While we’ve had to do a few things differently, as a whole "&amp;"we’ve been able to maintain our normal service levels -- and anticipate keeping it that way. 
We’ve heard of struggles in continuing to support library patrons and we’d like to assist you where we’re able. As such, we’re temporarily opening up some of ou"&amp;"r premium features (such as the Open Access Filter and Duplicate Order Detection) to our academic customers for no charge. Please let us know if you’d like to activate these features, helping you streamline your workflow. 
Maybe there are other ways we c"&amp;"an help you during these trying times. If you have requests, ideas, or suggestions please let us know. """)</f>
        <v>"Many of you have been playing an important role in dealing with this crisis we’re facing, and we just want you to know that we are here to support you. Our service remains up and running, 24/7. While we’ve had to do a few things differently, as a whole we’ve been able to maintain our normal service levels -- and anticipate keeping it that way. 
We’ve heard of struggles in continuing to support library patrons and we’d like to assist you where we’re able. As such, we’re temporarily opening up some of our premium features (such as the Open Access Filter and Duplicate Order Detection) to our academic customers for no charge. Please let us know if you’d like to activate these features, helping you streamline your workflow. 
Maybe there are other ways we can help you during these trying times. If you have requests, ideas, or suggestions please let us know. "</v>
      </c>
      <c r="C75" s="3" t="str">
        <f ca="1">IFERROR(__xludf.DUMMYFUNCTION("""COMPUTED_VALUE"""),"ICOLC Complimentary Expanded Access Submission Form")</f>
        <v>ICOLC Complimentary Expanded Access Submission Form</v>
      </c>
      <c r="D75" s="23">
        <f ca="1">IFERROR(__xludf.DUMMYFUNCTION("""COMPUTED_VALUE"""),43920)</f>
        <v>43920</v>
      </c>
      <c r="E75" s="12" t="str">
        <f ca="1">IFERROR(__xludf.DUMMYFUNCTION("""COMPUTED_VALUE"""),"Lookup Specifics")</f>
        <v>Lookup Specifics</v>
      </c>
      <c r="F75" s="13" t="str">
        <f ca="1">IFERROR(__xludf.DUMMYFUNCTION("""COMPUTED_VALUE"""),"")</f>
        <v/>
      </c>
    </row>
    <row r="76" spans="1:6" ht="112.5" x14ac:dyDescent="0.25">
      <c r="A76" s="4" t="str">
        <f ca="1">IFERROR(__xludf.DUMMYFUNCTION("""COMPUTED_VALUE"""),"Canadian Science Publishing")</f>
        <v>Canadian Science Publishing</v>
      </c>
      <c r="B76" s="10" t="str">
        <f ca="1">IFERROR(__xludf.DUMMYFUNCTION("""COMPUTED_VALUE"""),"Canadian Science Publishing is pleased to provide free access to coronavirus research available in our journals. You can access the collection here: https://www.nrcresearchpress.com/toc/cfac/current. 
Future articles will be added as they are published, "&amp;"and will be published open access at no cost to the authors. If you come across a relevant article in one of our journals that we’ve missed, let us know by emailing pubs@cdnsciencepub.com and we’ll add it to the collection. In addition, FACETS, Canada’s m"&amp;"ulti-disciplinary open access journal, will be waiving the APCs for all papers that focus on human epidemiology research that are submitted before December 31, 2020. If you plan on submitting a paper in this field to FACETS, please include a statement in "&amp;"your covering letter that indicates you are submitting to the coronavirus collection.
")</f>
        <v xml:space="preserve">Canadian Science Publishing is pleased to provide free access to coronavirus research available in our journals. You can access the collection here: https://www.nrcresearchpress.com/toc/cfac/current. 
Future articles will be added as they are published, and will be published open access at no cost to the authors. If you come across a relevant article in one of our journals that we’ve missed, let us know by emailing pubs@cdnsciencepub.com and we’ll add it to the collection. In addition, FACETS, Canada’s multi-disciplinary open access journal, will be waiving the APCs for all papers that focus on human epidemiology research that are submitted before December 31, 2020. If you plan on submitting a paper in this field to FACETS, please include a statement in your covering letter that indicates you are submitting to the coronavirus collection.
</v>
      </c>
      <c r="C76" s="3" t="str">
        <f ca="1">IFERROR(__xludf.DUMMYFUNCTION("""COMPUTED_VALUE"""),"ICOLC Complimentary Expanded Access Submission Form")</f>
        <v>ICOLC Complimentary Expanded Access Submission Form</v>
      </c>
      <c r="D76" s="23">
        <f ca="1">IFERROR(__xludf.DUMMYFUNCTION("""COMPUTED_VALUE"""),43920)</f>
        <v>43920</v>
      </c>
      <c r="E76" s="14" t="str">
        <f ca="1">IFERROR(__xludf.DUMMYFUNCTION("""COMPUTED_VALUE"""),"Lookup Specifics")</f>
        <v>Lookup Specifics</v>
      </c>
      <c r="F76" s="13" t="str">
        <f ca="1">IFERROR(__xludf.DUMMYFUNCTION("""COMPUTED_VALUE"""),"")</f>
        <v/>
      </c>
    </row>
    <row r="77" spans="1:6" ht="237.5" x14ac:dyDescent="0.25">
      <c r="A77" s="4" t="str">
        <f ca="1">IFERROR(__xludf.DUMMYFUNCTION("""COMPUTED_VALUE"""),"ASTM International")</f>
        <v>ASTM International</v>
      </c>
      <c r="B77" s="10" t="str">
        <f ca="1">IFERROR(__xludf.DUMMYFUNCTION("""COMPUTED_VALUE"""),"ASTM International Provides Public Access to Standards Used For COVID-19
Global standards organization ASTM International is providing no-cost public access to a suite of two dozen important standards used in the production and testing of personal protect"&amp;"ive equipment to combat the COVID-19 (coronavirus) public health emergency.
In an effort to support manufacturers, testing labs, healthcare professionals, and the general public, the available standards cover personal protective equipment including face "&amp;"masks, medical gowns, gloves, and hand sanitizers.  
“ASTM International is committed to supporting healthcare providers, manufacturers, labs, and others in their efforts to address this global pandemic,” according to Katharine Morgan, ASTM International"&amp;" president. “Providing access to these standards at no cost will help companies manufacturing these products to understand necessary safety, quality and performance requirements, helping our world work better.”
The suite of available standards include te"&amp;"st methods, performance specifications, and terminology. They were developed and maintained by ASTM International’s committees on personal protective clothing and equipment (F23), textiles (D13), rubber (D11), pesticides, antimicrobials, and alternative c"&amp;"ontrol agents (E35), and medical and surgical devices and materials (F04), and are available for public access.
These are the standards referenced in federal legislation or regulations. 
")</f>
        <v xml:space="preserve">ASTM International Provides Public Access to Standards Used For COVID-19
Global standards organization ASTM International is providing no-cost public access to a suite of two dozen important standards used in the production and testing of personal protective equipment to combat the COVID-19 (coronavirus) public health emergency.
In an effort to support manufacturers, testing labs, healthcare professionals, and the general public, the available standards cover personal protective equipment including face masks, medical gowns, gloves, and hand sanitizers.  
“ASTM International is committed to supporting healthcare providers, manufacturers, labs, and others in their efforts to address this global pandemic,” according to Katharine Morgan, ASTM International president. “Providing access to these standards at no cost will help companies manufacturing these products to understand necessary safety, quality and performance requirements, helping our world work better.”
The suite of available standards include test methods, performance specifications, and terminology. They were developed and maintained by ASTM International’s committees on personal protective clothing and equipment (F23), textiles (D13), rubber (D11), pesticides, antimicrobials, and alternative control agents (E35), and medical and surgical devices and materials (F04), and are available for public access.
These are the standards referenced in federal legislation or regulations. 
</v>
      </c>
      <c r="C77" s="3" t="str">
        <f ca="1">IFERROR(__xludf.DUMMYFUNCTION("""COMPUTED_VALUE"""),"ICOLC Complimentary Expanded Access Submission Form")</f>
        <v>ICOLC Complimentary Expanded Access Submission Form</v>
      </c>
      <c r="D77" s="23">
        <f ca="1">IFERROR(__xludf.DUMMYFUNCTION("""COMPUTED_VALUE"""),43920)</f>
        <v>43920</v>
      </c>
      <c r="E77" s="14" t="str">
        <f ca="1">IFERROR(__xludf.DUMMYFUNCTION("""COMPUTED_VALUE"""),"Lookup Specifics")</f>
        <v>Lookup Specifics</v>
      </c>
      <c r="F77" s="13" t="str">
        <f ca="1">IFERROR(__xludf.DUMMYFUNCTION("""COMPUTED_VALUE"""),"")</f>
        <v/>
      </c>
    </row>
    <row r="78" spans="1:6" ht="25" x14ac:dyDescent="0.25">
      <c r="A78" s="4" t="str">
        <f ca="1">IFERROR(__xludf.DUMMYFUNCTION("""COMPUTED_VALUE"""),"Berghahn")</f>
        <v>Berghahn</v>
      </c>
      <c r="B78" s="10" t="str">
        <f ca="1">IFERROR(__xludf.DUMMYFUNCTION("""COMPUTED_VALUE"""),"Free access to all Berghahn Journals In addition to those BOA journals available open access, all Berghahn Journals – new issues and all back issues - will be made freely available through June 30.")</f>
        <v>Free access to all Berghahn Journals In addition to those BOA journals available open access, all Berghahn Journals – new issues and all back issues - will be made freely available through June 30.</v>
      </c>
      <c r="C78" s="3" t="str">
        <f ca="1">IFERROR(__xludf.DUMMYFUNCTION("""COMPUTED_VALUE"""),"")</f>
        <v/>
      </c>
      <c r="D78" s="14" t="str">
        <f ca="1">IFERROR(__xludf.DUMMYFUNCTION("""COMPUTED_VALUE"""),"")</f>
        <v/>
      </c>
      <c r="E78" s="14" t="str">
        <f ca="1">IFERROR(__xludf.DUMMYFUNCTION("""COMPUTED_VALUE"""),"")</f>
        <v/>
      </c>
      <c r="F78" s="13" t="str">
        <f ca="1">IFERROR(__xludf.DUMMYFUNCTION("""COMPUTED_VALUE"""),"")</f>
        <v/>
      </c>
    </row>
    <row r="79" spans="1:6" ht="25" x14ac:dyDescent="0.25">
      <c r="A79" s="4" t="str">
        <f ca="1">IFERROR(__xludf.DUMMYFUNCTION("""COMPUTED_VALUE"""),"American Mathematical Society")</f>
        <v>American Mathematical Society</v>
      </c>
      <c r="B79" s="10" t="str">
        <f ca="1">IFERROR(__xludf.DUMMYFUNCTION("""COMPUTED_VALUE"""),"Special Remote Access Link which is specific to each institution. Link provides access to all online content and was sent out to all subscribers. Needs be shared with patrons.")</f>
        <v>Special Remote Access Link which is specific to each institution. Link provides access to all online content and was sent out to all subscribers. Needs be shared with patrons.</v>
      </c>
      <c r="C79" s="3" t="str">
        <f ca="1">IFERROR(__xludf.DUMMYFUNCTION("""COMPUTED_VALUE"""),"Fabian Felder, CSAL")</f>
        <v>Fabian Felder, CSAL</v>
      </c>
      <c r="D79" s="24">
        <f ca="1">IFERROR(__xludf.DUMMYFUNCTION("""COMPUTED_VALUE"""),43921)</f>
        <v>43921</v>
      </c>
      <c r="E79" s="14" t="str">
        <f ca="1">IFERROR(__xludf.DUMMYFUNCTION("""COMPUTED_VALUE"""),"")</f>
        <v/>
      </c>
      <c r="F79" s="13" t="str">
        <f ca="1">IFERROR(__xludf.DUMMYFUNCTION("""COMPUTED_VALUE"""),"")</f>
        <v/>
      </c>
    </row>
    <row r="80" spans="1:6" ht="12.5" x14ac:dyDescent="0.25">
      <c r="A80" s="4" t="str">
        <f ca="1">IFERROR(__xludf.DUMMYFUNCTION("""COMPUTED_VALUE"""),"")</f>
        <v/>
      </c>
      <c r="B80" s="10" t="str">
        <f ca="1">IFERROR(__xludf.DUMMYFUNCTION("""COMPUTED_VALUE"""),"")</f>
        <v/>
      </c>
      <c r="C80" s="3" t="str">
        <f ca="1">IFERROR(__xludf.DUMMYFUNCTION("""COMPUTED_VALUE"""),"")</f>
        <v/>
      </c>
      <c r="D80" s="14" t="str">
        <f ca="1">IFERROR(__xludf.DUMMYFUNCTION("""COMPUTED_VALUE"""),"")</f>
        <v/>
      </c>
      <c r="E80" s="14" t="str">
        <f ca="1">IFERROR(__xludf.DUMMYFUNCTION("""COMPUTED_VALUE"""),"")</f>
        <v/>
      </c>
      <c r="F80" s="13" t="str">
        <f ca="1">IFERROR(__xludf.DUMMYFUNCTION("""COMPUTED_VALUE"""),"")</f>
        <v/>
      </c>
    </row>
    <row r="81" spans="1:6" ht="12.5" x14ac:dyDescent="0.25">
      <c r="A81" s="4" t="str">
        <f ca="1">IFERROR(__xludf.DUMMYFUNCTION("""COMPUTED_VALUE"""),"")</f>
        <v/>
      </c>
      <c r="B81" s="10" t="str">
        <f ca="1">IFERROR(__xludf.DUMMYFUNCTION("""COMPUTED_VALUE"""),"")</f>
        <v/>
      </c>
      <c r="C81" s="3" t="str">
        <f ca="1">IFERROR(__xludf.DUMMYFUNCTION("""COMPUTED_VALUE"""),"")</f>
        <v/>
      </c>
      <c r="D81" s="14" t="str">
        <f ca="1">IFERROR(__xludf.DUMMYFUNCTION("""COMPUTED_VALUE"""),"")</f>
        <v/>
      </c>
      <c r="E81" s="14" t="str">
        <f ca="1">IFERROR(__xludf.DUMMYFUNCTION("""COMPUTED_VALUE"""),"")</f>
        <v/>
      </c>
      <c r="F81" s="13" t="str">
        <f ca="1">IFERROR(__xludf.DUMMYFUNCTION("""COMPUTED_VALUE"""),"")</f>
        <v/>
      </c>
    </row>
    <row r="82" spans="1:6" ht="12.5" x14ac:dyDescent="0.25">
      <c r="A82" s="4" t="str">
        <f ca="1">IFERROR(__xludf.DUMMYFUNCTION("""COMPUTED_VALUE"""),"")</f>
        <v/>
      </c>
      <c r="B82" s="10" t="str">
        <f ca="1">IFERROR(__xludf.DUMMYFUNCTION("""COMPUTED_VALUE"""),"")</f>
        <v/>
      </c>
      <c r="C82" s="3" t="str">
        <f ca="1">IFERROR(__xludf.DUMMYFUNCTION("""COMPUTED_VALUE"""),"")</f>
        <v/>
      </c>
      <c r="D82" s="14" t="str">
        <f ca="1">IFERROR(__xludf.DUMMYFUNCTION("""COMPUTED_VALUE"""),"")</f>
        <v/>
      </c>
      <c r="E82" s="14" t="str">
        <f ca="1">IFERROR(__xludf.DUMMYFUNCTION("""COMPUTED_VALUE"""),"")</f>
        <v/>
      </c>
      <c r="F82" s="13" t="str">
        <f ca="1">IFERROR(__xludf.DUMMYFUNCTION("""COMPUTED_VALUE"""),"")</f>
        <v/>
      </c>
    </row>
    <row r="83" spans="1:6" ht="12.5" x14ac:dyDescent="0.25">
      <c r="A83" s="4" t="str">
        <f ca="1">IFERROR(__xludf.DUMMYFUNCTION("""COMPUTED_VALUE"""),"")</f>
        <v/>
      </c>
      <c r="B83" s="10" t="str">
        <f ca="1">IFERROR(__xludf.DUMMYFUNCTION("""COMPUTED_VALUE"""),"")</f>
        <v/>
      </c>
      <c r="C83" s="3" t="str">
        <f ca="1">IFERROR(__xludf.DUMMYFUNCTION("""COMPUTED_VALUE"""),"")</f>
        <v/>
      </c>
      <c r="D83" s="14" t="str">
        <f ca="1">IFERROR(__xludf.DUMMYFUNCTION("""COMPUTED_VALUE"""),"")</f>
        <v/>
      </c>
      <c r="E83" s="14" t="str">
        <f ca="1">IFERROR(__xludf.DUMMYFUNCTION("""COMPUTED_VALUE"""),"")</f>
        <v/>
      </c>
      <c r="F83" s="13" t="str">
        <f ca="1">IFERROR(__xludf.DUMMYFUNCTION("""COMPUTED_VALUE"""),"")</f>
        <v/>
      </c>
    </row>
    <row r="84" spans="1:6" ht="12.5" x14ac:dyDescent="0.25">
      <c r="A84" s="4" t="str">
        <f ca="1">IFERROR(__xludf.DUMMYFUNCTION("""COMPUTED_VALUE"""),"")</f>
        <v/>
      </c>
      <c r="B84" s="10" t="str">
        <f ca="1">IFERROR(__xludf.DUMMYFUNCTION("""COMPUTED_VALUE"""),"")</f>
        <v/>
      </c>
      <c r="C84" s="3" t="str">
        <f ca="1">IFERROR(__xludf.DUMMYFUNCTION("""COMPUTED_VALUE"""),"")</f>
        <v/>
      </c>
      <c r="D84" s="14" t="str">
        <f ca="1">IFERROR(__xludf.DUMMYFUNCTION("""COMPUTED_VALUE"""),"")</f>
        <v/>
      </c>
      <c r="E84" s="14" t="str">
        <f ca="1">IFERROR(__xludf.DUMMYFUNCTION("""COMPUTED_VALUE"""),"")</f>
        <v/>
      </c>
      <c r="F84" s="13" t="str">
        <f ca="1">IFERROR(__xludf.DUMMYFUNCTION("""COMPUTED_VALUE"""),"")</f>
        <v/>
      </c>
    </row>
    <row r="85" spans="1:6" ht="12.5" x14ac:dyDescent="0.25">
      <c r="A85" s="4" t="str">
        <f ca="1">IFERROR(__xludf.DUMMYFUNCTION("""COMPUTED_VALUE"""),"")</f>
        <v/>
      </c>
      <c r="B85" s="10" t="str">
        <f ca="1">IFERROR(__xludf.DUMMYFUNCTION("""COMPUTED_VALUE"""),"")</f>
        <v/>
      </c>
      <c r="C85" s="3" t="str">
        <f ca="1">IFERROR(__xludf.DUMMYFUNCTION("""COMPUTED_VALUE"""),"")</f>
        <v/>
      </c>
      <c r="D85" s="14" t="str">
        <f ca="1">IFERROR(__xludf.DUMMYFUNCTION("""COMPUTED_VALUE"""),"")</f>
        <v/>
      </c>
      <c r="E85" s="14" t="str">
        <f ca="1">IFERROR(__xludf.DUMMYFUNCTION("""COMPUTED_VALUE"""),"")</f>
        <v/>
      </c>
      <c r="F85" s="13" t="str">
        <f ca="1">IFERROR(__xludf.DUMMYFUNCTION("""COMPUTED_VALUE"""),"")</f>
        <v/>
      </c>
    </row>
    <row r="86" spans="1:6" ht="12.5" x14ac:dyDescent="0.25">
      <c r="A86" s="4" t="str">
        <f ca="1">IFERROR(__xludf.DUMMYFUNCTION("""COMPUTED_VALUE"""),"")</f>
        <v/>
      </c>
      <c r="B86" s="10" t="str">
        <f ca="1">IFERROR(__xludf.DUMMYFUNCTION("""COMPUTED_VALUE"""),"")</f>
        <v/>
      </c>
      <c r="C86" s="3" t="str">
        <f ca="1">IFERROR(__xludf.DUMMYFUNCTION("""COMPUTED_VALUE"""),"")</f>
        <v/>
      </c>
      <c r="D86" s="14" t="str">
        <f ca="1">IFERROR(__xludf.DUMMYFUNCTION("""COMPUTED_VALUE"""),"")</f>
        <v/>
      </c>
      <c r="E86" s="14" t="str">
        <f ca="1">IFERROR(__xludf.DUMMYFUNCTION("""COMPUTED_VALUE"""),"")</f>
        <v/>
      </c>
      <c r="F86" s="13" t="str">
        <f ca="1">IFERROR(__xludf.DUMMYFUNCTION("""COMPUTED_VALUE"""),"")</f>
        <v/>
      </c>
    </row>
    <row r="87" spans="1:6" ht="12.5" x14ac:dyDescent="0.25">
      <c r="A87" s="4" t="str">
        <f ca="1">IFERROR(__xludf.DUMMYFUNCTION("""COMPUTED_VALUE"""),"")</f>
        <v/>
      </c>
      <c r="B87" s="10" t="str">
        <f ca="1">IFERROR(__xludf.DUMMYFUNCTION("""COMPUTED_VALUE"""),"")</f>
        <v/>
      </c>
      <c r="C87" s="3" t="str">
        <f ca="1">IFERROR(__xludf.DUMMYFUNCTION("""COMPUTED_VALUE"""),"")</f>
        <v/>
      </c>
      <c r="D87" s="14" t="str">
        <f ca="1">IFERROR(__xludf.DUMMYFUNCTION("""COMPUTED_VALUE"""),"")</f>
        <v/>
      </c>
      <c r="E87" s="14" t="str">
        <f ca="1">IFERROR(__xludf.DUMMYFUNCTION("""COMPUTED_VALUE"""),"")</f>
        <v/>
      </c>
      <c r="F87" s="13" t="str">
        <f ca="1">IFERROR(__xludf.DUMMYFUNCTION("""COMPUTED_VALUE"""),"")</f>
        <v/>
      </c>
    </row>
    <row r="88" spans="1:6" ht="12.5" x14ac:dyDescent="0.25">
      <c r="A88" s="4" t="str">
        <f ca="1">IFERROR(__xludf.DUMMYFUNCTION("""COMPUTED_VALUE"""),"")</f>
        <v/>
      </c>
      <c r="B88" s="10" t="str">
        <f ca="1">IFERROR(__xludf.DUMMYFUNCTION("""COMPUTED_VALUE"""),"")</f>
        <v/>
      </c>
      <c r="C88" s="3" t="str">
        <f ca="1">IFERROR(__xludf.DUMMYFUNCTION("""COMPUTED_VALUE"""),"")</f>
        <v/>
      </c>
      <c r="D88" s="14" t="str">
        <f ca="1">IFERROR(__xludf.DUMMYFUNCTION("""COMPUTED_VALUE"""),"")</f>
        <v/>
      </c>
      <c r="E88" s="14" t="str">
        <f ca="1">IFERROR(__xludf.DUMMYFUNCTION("""COMPUTED_VALUE"""),"")</f>
        <v/>
      </c>
      <c r="F88" s="13" t="str">
        <f ca="1">IFERROR(__xludf.DUMMYFUNCTION("""COMPUTED_VALUE"""),"")</f>
        <v/>
      </c>
    </row>
    <row r="89" spans="1:6" ht="12.5" x14ac:dyDescent="0.25">
      <c r="A89" s="4" t="str">
        <f ca="1">IFERROR(__xludf.DUMMYFUNCTION("""COMPUTED_VALUE"""),"")</f>
        <v/>
      </c>
      <c r="B89" s="10" t="str">
        <f ca="1">IFERROR(__xludf.DUMMYFUNCTION("""COMPUTED_VALUE"""),"")</f>
        <v/>
      </c>
      <c r="C89" s="3" t="str">
        <f ca="1">IFERROR(__xludf.DUMMYFUNCTION("""COMPUTED_VALUE"""),"")</f>
        <v/>
      </c>
      <c r="D89" s="14" t="str">
        <f ca="1">IFERROR(__xludf.DUMMYFUNCTION("""COMPUTED_VALUE"""),"")</f>
        <v/>
      </c>
      <c r="E89" s="14" t="str">
        <f ca="1">IFERROR(__xludf.DUMMYFUNCTION("""COMPUTED_VALUE"""),"")</f>
        <v/>
      </c>
      <c r="F89" s="13" t="str">
        <f ca="1">IFERROR(__xludf.DUMMYFUNCTION("""COMPUTED_VALUE"""),"")</f>
        <v/>
      </c>
    </row>
    <row r="90" spans="1:6" ht="12.5" x14ac:dyDescent="0.25">
      <c r="A90" s="4" t="str">
        <f ca="1">IFERROR(__xludf.DUMMYFUNCTION("""COMPUTED_VALUE"""),"")</f>
        <v/>
      </c>
      <c r="B90" s="10" t="str">
        <f ca="1">IFERROR(__xludf.DUMMYFUNCTION("""COMPUTED_VALUE"""),"")</f>
        <v/>
      </c>
      <c r="C90" s="3" t="str">
        <f ca="1">IFERROR(__xludf.DUMMYFUNCTION("""COMPUTED_VALUE"""),"")</f>
        <v/>
      </c>
      <c r="D90" s="14" t="str">
        <f ca="1">IFERROR(__xludf.DUMMYFUNCTION("""COMPUTED_VALUE"""),"")</f>
        <v/>
      </c>
      <c r="E90" s="14" t="str">
        <f ca="1">IFERROR(__xludf.DUMMYFUNCTION("""COMPUTED_VALUE"""),"")</f>
        <v/>
      </c>
      <c r="F90" s="13" t="str">
        <f ca="1">IFERROR(__xludf.DUMMYFUNCTION("""COMPUTED_VALUE"""),"")</f>
        <v/>
      </c>
    </row>
    <row r="91" spans="1:6" ht="12.5" x14ac:dyDescent="0.25">
      <c r="A91" s="4" t="str">
        <f ca="1">IFERROR(__xludf.DUMMYFUNCTION("""COMPUTED_VALUE"""),"")</f>
        <v/>
      </c>
      <c r="B91" s="10" t="str">
        <f ca="1">IFERROR(__xludf.DUMMYFUNCTION("""COMPUTED_VALUE"""),"")</f>
        <v/>
      </c>
      <c r="C91" s="3" t="str">
        <f ca="1">IFERROR(__xludf.DUMMYFUNCTION("""COMPUTED_VALUE"""),"")</f>
        <v/>
      </c>
      <c r="D91" s="14" t="str">
        <f ca="1">IFERROR(__xludf.DUMMYFUNCTION("""COMPUTED_VALUE"""),"")</f>
        <v/>
      </c>
      <c r="E91" s="14" t="str">
        <f ca="1">IFERROR(__xludf.DUMMYFUNCTION("""COMPUTED_VALUE"""),"")</f>
        <v/>
      </c>
      <c r="F91" s="13" t="str">
        <f ca="1">IFERROR(__xludf.DUMMYFUNCTION("""COMPUTED_VALUE"""),"")</f>
        <v/>
      </c>
    </row>
    <row r="92" spans="1:6" ht="12.5" x14ac:dyDescent="0.25">
      <c r="A92" s="4" t="str">
        <f ca="1">IFERROR(__xludf.DUMMYFUNCTION("""COMPUTED_VALUE"""),"")</f>
        <v/>
      </c>
      <c r="B92" s="10" t="str">
        <f ca="1">IFERROR(__xludf.DUMMYFUNCTION("""COMPUTED_VALUE"""),"")</f>
        <v/>
      </c>
      <c r="C92" s="3" t="str">
        <f ca="1">IFERROR(__xludf.DUMMYFUNCTION("""COMPUTED_VALUE"""),"")</f>
        <v/>
      </c>
      <c r="D92" s="14" t="str">
        <f ca="1">IFERROR(__xludf.DUMMYFUNCTION("""COMPUTED_VALUE"""),"")</f>
        <v/>
      </c>
      <c r="E92" s="14" t="str">
        <f ca="1">IFERROR(__xludf.DUMMYFUNCTION("""COMPUTED_VALUE"""),"")</f>
        <v/>
      </c>
      <c r="F92" s="13" t="str">
        <f ca="1">IFERROR(__xludf.DUMMYFUNCTION("""COMPUTED_VALUE"""),"")</f>
        <v/>
      </c>
    </row>
    <row r="93" spans="1:6" ht="12.5" x14ac:dyDescent="0.25">
      <c r="A93" s="4" t="str">
        <f ca="1">IFERROR(__xludf.DUMMYFUNCTION("""COMPUTED_VALUE"""),"")</f>
        <v/>
      </c>
      <c r="B93" s="10" t="str">
        <f ca="1">IFERROR(__xludf.DUMMYFUNCTION("""COMPUTED_VALUE"""),"")</f>
        <v/>
      </c>
      <c r="C93" s="3" t="str">
        <f ca="1">IFERROR(__xludf.DUMMYFUNCTION("""COMPUTED_VALUE"""),"")</f>
        <v/>
      </c>
      <c r="D93" s="14" t="str">
        <f ca="1">IFERROR(__xludf.DUMMYFUNCTION("""COMPUTED_VALUE"""),"")</f>
        <v/>
      </c>
      <c r="E93" s="14" t="str">
        <f ca="1">IFERROR(__xludf.DUMMYFUNCTION("""COMPUTED_VALUE"""),"")</f>
        <v/>
      </c>
      <c r="F93" s="13" t="str">
        <f ca="1">IFERROR(__xludf.DUMMYFUNCTION("""COMPUTED_VALUE"""),"")</f>
        <v/>
      </c>
    </row>
    <row r="94" spans="1:6" ht="12.5" x14ac:dyDescent="0.25">
      <c r="A94" s="4" t="str">
        <f ca="1">IFERROR(__xludf.DUMMYFUNCTION("""COMPUTED_VALUE"""),"")</f>
        <v/>
      </c>
      <c r="B94" s="10" t="str">
        <f ca="1">IFERROR(__xludf.DUMMYFUNCTION("""COMPUTED_VALUE"""),"")</f>
        <v/>
      </c>
      <c r="C94" s="3" t="str">
        <f ca="1">IFERROR(__xludf.DUMMYFUNCTION("""COMPUTED_VALUE"""),"")</f>
        <v/>
      </c>
      <c r="D94" s="14" t="str">
        <f ca="1">IFERROR(__xludf.DUMMYFUNCTION("""COMPUTED_VALUE"""),"")</f>
        <v/>
      </c>
      <c r="E94" s="14" t="str">
        <f ca="1">IFERROR(__xludf.DUMMYFUNCTION("""COMPUTED_VALUE"""),"")</f>
        <v/>
      </c>
      <c r="F94" s="13" t="str">
        <f ca="1">IFERROR(__xludf.DUMMYFUNCTION("""COMPUTED_VALUE"""),"")</f>
        <v/>
      </c>
    </row>
    <row r="95" spans="1:6" ht="12.5" x14ac:dyDescent="0.25">
      <c r="A95" s="4" t="str">
        <f ca="1">IFERROR(__xludf.DUMMYFUNCTION("""COMPUTED_VALUE"""),"")</f>
        <v/>
      </c>
      <c r="B95" s="10" t="str">
        <f ca="1">IFERROR(__xludf.DUMMYFUNCTION("""COMPUTED_VALUE"""),"")</f>
        <v/>
      </c>
      <c r="C95" s="3" t="str">
        <f ca="1">IFERROR(__xludf.DUMMYFUNCTION("""COMPUTED_VALUE"""),"")</f>
        <v/>
      </c>
      <c r="D95" s="14" t="str">
        <f ca="1">IFERROR(__xludf.DUMMYFUNCTION("""COMPUTED_VALUE"""),"")</f>
        <v/>
      </c>
      <c r="E95" s="14" t="str">
        <f ca="1">IFERROR(__xludf.DUMMYFUNCTION("""COMPUTED_VALUE"""),"")</f>
        <v/>
      </c>
      <c r="F95" s="13" t="str">
        <f ca="1">IFERROR(__xludf.DUMMYFUNCTION("""COMPUTED_VALUE"""),"")</f>
        <v/>
      </c>
    </row>
    <row r="96" spans="1:6" ht="12.5" x14ac:dyDescent="0.25">
      <c r="A96" s="4" t="str">
        <f ca="1">IFERROR(__xludf.DUMMYFUNCTION("""COMPUTED_VALUE"""),"")</f>
        <v/>
      </c>
      <c r="B96" s="10" t="str">
        <f ca="1">IFERROR(__xludf.DUMMYFUNCTION("""COMPUTED_VALUE"""),"")</f>
        <v/>
      </c>
      <c r="C96" s="3" t="str">
        <f ca="1">IFERROR(__xludf.DUMMYFUNCTION("""COMPUTED_VALUE"""),"")</f>
        <v/>
      </c>
      <c r="D96" s="14" t="str">
        <f ca="1">IFERROR(__xludf.DUMMYFUNCTION("""COMPUTED_VALUE"""),"")</f>
        <v/>
      </c>
      <c r="E96" s="14" t="str">
        <f ca="1">IFERROR(__xludf.DUMMYFUNCTION("""COMPUTED_VALUE"""),"")</f>
        <v/>
      </c>
      <c r="F96" s="13" t="str">
        <f ca="1">IFERROR(__xludf.DUMMYFUNCTION("""COMPUTED_VALUE"""),"")</f>
        <v/>
      </c>
    </row>
    <row r="97" spans="1:6" ht="12.5" x14ac:dyDescent="0.25">
      <c r="A97" s="14" t="str">
        <f ca="1">IFERROR(__xludf.DUMMYFUNCTION("""COMPUTED_VALUE"""),"")</f>
        <v/>
      </c>
      <c r="B97" s="10" t="str">
        <f ca="1">IFERROR(__xludf.DUMMYFUNCTION("""COMPUTED_VALUE"""),"")</f>
        <v/>
      </c>
      <c r="C97" s="3" t="str">
        <f ca="1">IFERROR(__xludf.DUMMYFUNCTION("""COMPUTED_VALUE"""),"")</f>
        <v/>
      </c>
      <c r="D97" s="14" t="str">
        <f ca="1">IFERROR(__xludf.DUMMYFUNCTION("""COMPUTED_VALUE"""),"")</f>
        <v/>
      </c>
      <c r="E97" s="14" t="str">
        <f ca="1">IFERROR(__xludf.DUMMYFUNCTION("""COMPUTED_VALUE"""),"")</f>
        <v/>
      </c>
      <c r="F97" s="13" t="str">
        <f ca="1">IFERROR(__xludf.DUMMYFUNCTION("""COMPUTED_VALUE"""),"")</f>
        <v/>
      </c>
    </row>
    <row r="98" spans="1:6" ht="12.5" x14ac:dyDescent="0.25">
      <c r="A98" s="14" t="str">
        <f ca="1">IFERROR(__xludf.DUMMYFUNCTION("""COMPUTED_VALUE"""),"")</f>
        <v/>
      </c>
      <c r="B98" s="10" t="str">
        <f ca="1">IFERROR(__xludf.DUMMYFUNCTION("""COMPUTED_VALUE"""),"")</f>
        <v/>
      </c>
      <c r="C98" s="3" t="str">
        <f ca="1">IFERROR(__xludf.DUMMYFUNCTION("""COMPUTED_VALUE"""),"")</f>
        <v/>
      </c>
      <c r="D98" s="14" t="str">
        <f ca="1">IFERROR(__xludf.DUMMYFUNCTION("""COMPUTED_VALUE"""),"")</f>
        <v/>
      </c>
      <c r="E98" s="14" t="str">
        <f ca="1">IFERROR(__xludf.DUMMYFUNCTION("""COMPUTED_VALUE"""),"")</f>
        <v/>
      </c>
      <c r="F98" s="13" t="str">
        <f ca="1">IFERROR(__xludf.DUMMYFUNCTION("""COMPUTED_VALUE"""),"")</f>
        <v/>
      </c>
    </row>
    <row r="99" spans="1:6" ht="12.5" x14ac:dyDescent="0.25">
      <c r="A99" s="14" t="str">
        <f ca="1">IFERROR(__xludf.DUMMYFUNCTION("""COMPUTED_VALUE"""),"")</f>
        <v/>
      </c>
      <c r="B99" s="10" t="str">
        <f ca="1">IFERROR(__xludf.DUMMYFUNCTION("""COMPUTED_VALUE"""),"")</f>
        <v/>
      </c>
      <c r="C99" s="3" t="str">
        <f ca="1">IFERROR(__xludf.DUMMYFUNCTION("""COMPUTED_VALUE"""),"")</f>
        <v/>
      </c>
      <c r="D99" s="14" t="str">
        <f ca="1">IFERROR(__xludf.DUMMYFUNCTION("""COMPUTED_VALUE"""),"")</f>
        <v/>
      </c>
      <c r="E99" s="14" t="str">
        <f ca="1">IFERROR(__xludf.DUMMYFUNCTION("""COMPUTED_VALUE"""),"")</f>
        <v/>
      </c>
      <c r="F99" s="13" t="str">
        <f ca="1">IFERROR(__xludf.DUMMYFUNCTION("""COMPUTED_VALUE"""),"")</f>
        <v/>
      </c>
    </row>
    <row r="100" spans="1:6" ht="12.5" x14ac:dyDescent="0.25">
      <c r="A100" s="14" t="str">
        <f ca="1">IFERROR(__xludf.DUMMYFUNCTION("""COMPUTED_VALUE"""),"")</f>
        <v/>
      </c>
      <c r="B100" s="10" t="str">
        <f ca="1">IFERROR(__xludf.DUMMYFUNCTION("""COMPUTED_VALUE"""),"")</f>
        <v/>
      </c>
      <c r="C100" s="3" t="str">
        <f ca="1">IFERROR(__xludf.DUMMYFUNCTION("""COMPUTED_VALUE"""),"")</f>
        <v/>
      </c>
      <c r="D100" s="14" t="str">
        <f ca="1">IFERROR(__xludf.DUMMYFUNCTION("""COMPUTED_VALUE"""),"")</f>
        <v/>
      </c>
      <c r="E100" s="14" t="str">
        <f ca="1">IFERROR(__xludf.DUMMYFUNCTION("""COMPUTED_VALUE"""),"")</f>
        <v/>
      </c>
      <c r="F100" s="13" t="str">
        <f ca="1">IFERROR(__xludf.DUMMYFUNCTION("""COMPUTED_VALUE"""),"")</f>
        <v/>
      </c>
    </row>
    <row r="101" spans="1:6" ht="12.5" x14ac:dyDescent="0.25">
      <c r="A101" s="14" t="str">
        <f ca="1">IFERROR(__xludf.DUMMYFUNCTION("""COMPUTED_VALUE"""),"")</f>
        <v/>
      </c>
      <c r="B101" s="10" t="str">
        <f ca="1">IFERROR(__xludf.DUMMYFUNCTION("""COMPUTED_VALUE"""),"")</f>
        <v/>
      </c>
      <c r="C101" s="3" t="str">
        <f ca="1">IFERROR(__xludf.DUMMYFUNCTION("""COMPUTED_VALUE"""),"")</f>
        <v/>
      </c>
      <c r="D101" s="14" t="str">
        <f ca="1">IFERROR(__xludf.DUMMYFUNCTION("""COMPUTED_VALUE"""),"")</f>
        <v/>
      </c>
      <c r="E101" s="14" t="str">
        <f ca="1">IFERROR(__xludf.DUMMYFUNCTION("""COMPUTED_VALUE"""),"")</f>
        <v/>
      </c>
      <c r="F101" s="13" t="str">
        <f ca="1">IFERROR(__xludf.DUMMYFUNCTION("""COMPUTED_VALUE"""),"")</f>
        <v/>
      </c>
    </row>
    <row r="102" spans="1:6" ht="12.5" x14ac:dyDescent="0.25">
      <c r="A102" s="14"/>
      <c r="B102" s="10"/>
      <c r="C102" s="3"/>
      <c r="D102" s="14"/>
      <c r="E102" s="14"/>
      <c r="F102" s="13"/>
    </row>
    <row r="103" spans="1:6" ht="12.5" x14ac:dyDescent="0.25">
      <c r="A103" s="14"/>
      <c r="B103" s="10"/>
      <c r="C103" s="3"/>
      <c r="D103" s="14"/>
      <c r="E103" s="14"/>
      <c r="F103" s="13"/>
    </row>
    <row r="104" spans="1:6" ht="12.5" x14ac:dyDescent="0.25">
      <c r="A104" s="14"/>
      <c r="B104" s="10"/>
      <c r="C104" s="3"/>
      <c r="D104" s="14"/>
      <c r="E104" s="14"/>
      <c r="F104" s="13"/>
    </row>
    <row r="105" spans="1:6" ht="12.5" x14ac:dyDescent="0.25">
      <c r="B105" s="9"/>
      <c r="C105" s="25"/>
      <c r="F105" s="26"/>
    </row>
    <row r="106" spans="1:6" ht="12.5" x14ac:dyDescent="0.25">
      <c r="B106" s="9"/>
      <c r="C106" s="25"/>
      <c r="F106" s="26"/>
    </row>
    <row r="107" spans="1:6" ht="12.5" x14ac:dyDescent="0.25">
      <c r="B107" s="9"/>
      <c r="C107" s="25"/>
      <c r="F107" s="26"/>
    </row>
    <row r="108" spans="1:6" ht="12.5" x14ac:dyDescent="0.25">
      <c r="B108" s="9"/>
      <c r="C108" s="25"/>
      <c r="F108" s="26"/>
    </row>
    <row r="109" spans="1:6" ht="12.5" x14ac:dyDescent="0.25">
      <c r="B109" s="9"/>
      <c r="C109" s="25"/>
      <c r="F109" s="26"/>
    </row>
    <row r="110" spans="1:6" ht="12.5" x14ac:dyDescent="0.25">
      <c r="B110" s="9"/>
      <c r="C110" s="25"/>
      <c r="F110" s="26"/>
    </row>
    <row r="111" spans="1:6" ht="12.5" x14ac:dyDescent="0.25">
      <c r="B111" s="9"/>
      <c r="C111" s="25"/>
      <c r="F111" s="26"/>
    </row>
    <row r="112" spans="1:6" ht="12.5" x14ac:dyDescent="0.25">
      <c r="B112" s="9"/>
      <c r="C112" s="25"/>
      <c r="F112" s="26"/>
    </row>
    <row r="113" spans="2:6" ht="12.5" x14ac:dyDescent="0.25">
      <c r="B113" s="9"/>
      <c r="C113" s="25"/>
      <c r="F113" s="26"/>
    </row>
    <row r="114" spans="2:6" ht="12.5" x14ac:dyDescent="0.25">
      <c r="B114" s="9"/>
      <c r="C114" s="25"/>
      <c r="F114" s="26"/>
    </row>
    <row r="115" spans="2:6" ht="12.5" x14ac:dyDescent="0.25">
      <c r="B115" s="9"/>
      <c r="C115" s="25"/>
      <c r="F115" s="26"/>
    </row>
    <row r="116" spans="2:6" ht="12.5" x14ac:dyDescent="0.25">
      <c r="B116" s="9"/>
      <c r="C116" s="25"/>
      <c r="F116" s="26"/>
    </row>
    <row r="117" spans="2:6" ht="12.5" x14ac:dyDescent="0.25">
      <c r="B117" s="9"/>
      <c r="C117" s="25"/>
      <c r="F117" s="26"/>
    </row>
    <row r="118" spans="2:6" ht="12.5" x14ac:dyDescent="0.25">
      <c r="B118" s="9"/>
      <c r="C118" s="25"/>
      <c r="F118" s="26"/>
    </row>
    <row r="119" spans="2:6" ht="12.5" x14ac:dyDescent="0.25">
      <c r="B119" s="9"/>
      <c r="C119" s="25"/>
      <c r="F119" s="26"/>
    </row>
    <row r="120" spans="2:6" ht="12.5" x14ac:dyDescent="0.25">
      <c r="B120" s="9"/>
      <c r="C120" s="25"/>
      <c r="F120" s="26"/>
    </row>
    <row r="121" spans="2:6" ht="12.5" x14ac:dyDescent="0.25">
      <c r="B121" s="9"/>
      <c r="C121" s="25"/>
      <c r="F121" s="26"/>
    </row>
    <row r="122" spans="2:6" ht="12.5" x14ac:dyDescent="0.25">
      <c r="B122" s="9"/>
      <c r="C122" s="25"/>
      <c r="F122" s="26"/>
    </row>
    <row r="123" spans="2:6" ht="12.5" x14ac:dyDescent="0.25">
      <c r="B123" s="9"/>
      <c r="C123" s="25"/>
      <c r="F123" s="26"/>
    </row>
    <row r="124" spans="2:6" ht="12.5" x14ac:dyDescent="0.25">
      <c r="B124" s="9"/>
      <c r="C124" s="25"/>
      <c r="F124" s="26"/>
    </row>
    <row r="125" spans="2:6" ht="12.5" x14ac:dyDescent="0.25">
      <c r="B125" s="9"/>
      <c r="C125" s="25"/>
      <c r="F125" s="26"/>
    </row>
    <row r="126" spans="2:6" ht="12.5" x14ac:dyDescent="0.25">
      <c r="B126" s="9"/>
      <c r="C126" s="25"/>
      <c r="F126" s="26"/>
    </row>
    <row r="127" spans="2:6" ht="12.5" x14ac:dyDescent="0.25">
      <c r="B127" s="9"/>
      <c r="C127" s="25"/>
      <c r="F127" s="26"/>
    </row>
    <row r="128" spans="2:6" ht="12.5" x14ac:dyDescent="0.25">
      <c r="B128" s="9"/>
      <c r="C128" s="25"/>
      <c r="F128" s="26"/>
    </row>
    <row r="129" spans="2:6" ht="12.5" x14ac:dyDescent="0.25">
      <c r="B129" s="9"/>
      <c r="C129" s="25"/>
      <c r="F129" s="26"/>
    </row>
    <row r="130" spans="2:6" ht="12.5" x14ac:dyDescent="0.25">
      <c r="B130" s="9"/>
      <c r="C130" s="25"/>
      <c r="F130" s="26"/>
    </row>
    <row r="131" spans="2:6" ht="12.5" x14ac:dyDescent="0.25">
      <c r="B131" s="9"/>
      <c r="C131" s="25"/>
      <c r="F131" s="26"/>
    </row>
    <row r="132" spans="2:6" ht="12.5" x14ac:dyDescent="0.25">
      <c r="B132" s="9"/>
      <c r="C132" s="25"/>
      <c r="F132" s="26"/>
    </row>
    <row r="133" spans="2:6" ht="12.5" x14ac:dyDescent="0.25">
      <c r="B133" s="9"/>
      <c r="C133" s="25"/>
      <c r="F133" s="26"/>
    </row>
    <row r="134" spans="2:6" ht="12.5" x14ac:dyDescent="0.25">
      <c r="B134" s="9"/>
      <c r="C134" s="25"/>
      <c r="F134" s="26"/>
    </row>
    <row r="135" spans="2:6" ht="12.5" x14ac:dyDescent="0.25">
      <c r="B135" s="9"/>
      <c r="C135" s="25"/>
      <c r="F135" s="26"/>
    </row>
    <row r="136" spans="2:6" ht="12.5" x14ac:dyDescent="0.25">
      <c r="B136" s="9"/>
      <c r="C136" s="25"/>
      <c r="F136" s="26"/>
    </row>
    <row r="137" spans="2:6" ht="12.5" x14ac:dyDescent="0.25">
      <c r="B137" s="9"/>
      <c r="C137" s="25"/>
      <c r="F137" s="26"/>
    </row>
    <row r="138" spans="2:6" ht="12.5" x14ac:dyDescent="0.25">
      <c r="B138" s="9"/>
      <c r="C138" s="25"/>
      <c r="F138" s="26"/>
    </row>
    <row r="139" spans="2:6" ht="12.5" x14ac:dyDescent="0.25">
      <c r="B139" s="9"/>
      <c r="C139" s="25"/>
      <c r="F139" s="26"/>
    </row>
    <row r="140" spans="2:6" ht="12.5" x14ac:dyDescent="0.25">
      <c r="B140" s="9"/>
      <c r="C140" s="25"/>
      <c r="F140" s="26"/>
    </row>
    <row r="141" spans="2:6" ht="12.5" x14ac:dyDescent="0.25">
      <c r="B141" s="9"/>
      <c r="C141" s="25"/>
      <c r="F141" s="26"/>
    </row>
    <row r="142" spans="2:6" ht="12.5" x14ac:dyDescent="0.25">
      <c r="B142" s="9"/>
      <c r="C142" s="25"/>
      <c r="F142" s="26"/>
    </row>
    <row r="143" spans="2:6" ht="12.5" x14ac:dyDescent="0.25">
      <c r="B143" s="9"/>
      <c r="C143" s="25"/>
      <c r="F143" s="26"/>
    </row>
    <row r="144" spans="2:6" ht="12.5" x14ac:dyDescent="0.25">
      <c r="B144" s="9"/>
      <c r="C144" s="25"/>
      <c r="F144" s="26"/>
    </row>
    <row r="145" spans="2:6" ht="12.5" x14ac:dyDescent="0.25">
      <c r="B145" s="9"/>
      <c r="C145" s="25"/>
      <c r="F145" s="26"/>
    </row>
    <row r="146" spans="2:6" ht="12.5" x14ac:dyDescent="0.25">
      <c r="B146" s="9"/>
      <c r="C146" s="25"/>
      <c r="F146" s="26"/>
    </row>
    <row r="147" spans="2:6" ht="12.5" x14ac:dyDescent="0.25">
      <c r="B147" s="9"/>
      <c r="C147" s="25"/>
      <c r="F147" s="26"/>
    </row>
    <row r="148" spans="2:6" ht="12.5" x14ac:dyDescent="0.25">
      <c r="B148" s="9"/>
      <c r="C148" s="25"/>
      <c r="F148" s="26"/>
    </row>
    <row r="149" spans="2:6" ht="12.5" x14ac:dyDescent="0.25">
      <c r="B149" s="9"/>
      <c r="C149" s="25"/>
      <c r="F149" s="26"/>
    </row>
    <row r="150" spans="2:6" ht="12.5" x14ac:dyDescent="0.25">
      <c r="B150" s="9"/>
      <c r="C150" s="25"/>
      <c r="F150" s="26"/>
    </row>
    <row r="151" spans="2:6" ht="12.5" x14ac:dyDescent="0.25">
      <c r="B151" s="9"/>
      <c r="C151" s="25"/>
      <c r="F151" s="26"/>
    </row>
    <row r="152" spans="2:6" ht="12.5" x14ac:dyDescent="0.25">
      <c r="B152" s="9"/>
      <c r="C152" s="25"/>
      <c r="F152" s="26"/>
    </row>
    <row r="153" spans="2:6" ht="12.5" x14ac:dyDescent="0.25">
      <c r="B153" s="9"/>
      <c r="C153" s="25"/>
      <c r="F153" s="26"/>
    </row>
    <row r="154" spans="2:6" ht="12.5" x14ac:dyDescent="0.25">
      <c r="B154" s="9"/>
      <c r="C154" s="25"/>
      <c r="F154" s="26"/>
    </row>
    <row r="155" spans="2:6" ht="12.5" x14ac:dyDescent="0.25">
      <c r="B155" s="9"/>
      <c r="C155" s="25"/>
      <c r="F155" s="26"/>
    </row>
    <row r="156" spans="2:6" ht="12.5" x14ac:dyDescent="0.25">
      <c r="B156" s="9"/>
      <c r="C156" s="25"/>
      <c r="F156" s="26"/>
    </row>
    <row r="157" spans="2:6" ht="12.5" x14ac:dyDescent="0.25">
      <c r="B157" s="9"/>
      <c r="C157" s="25"/>
      <c r="F157" s="26"/>
    </row>
    <row r="158" spans="2:6" ht="12.5" x14ac:dyDescent="0.25">
      <c r="B158" s="9"/>
      <c r="C158" s="25"/>
      <c r="F158" s="26"/>
    </row>
    <row r="159" spans="2:6" ht="12.5" x14ac:dyDescent="0.25">
      <c r="B159" s="9"/>
      <c r="C159" s="25"/>
      <c r="F159" s="26"/>
    </row>
    <row r="160" spans="2:6" ht="12.5" x14ac:dyDescent="0.25">
      <c r="B160" s="9"/>
      <c r="C160" s="25"/>
      <c r="F160" s="26"/>
    </row>
    <row r="161" spans="2:6" ht="12.5" x14ac:dyDescent="0.25">
      <c r="B161" s="9"/>
      <c r="C161" s="25"/>
      <c r="F161" s="26"/>
    </row>
    <row r="162" spans="2:6" ht="12.5" x14ac:dyDescent="0.25">
      <c r="B162" s="9"/>
      <c r="C162" s="25"/>
      <c r="F162" s="26"/>
    </row>
    <row r="163" spans="2:6" ht="12.5" x14ac:dyDescent="0.25">
      <c r="B163" s="9"/>
      <c r="C163" s="25"/>
      <c r="F163" s="26"/>
    </row>
    <row r="164" spans="2:6" ht="12.5" x14ac:dyDescent="0.25">
      <c r="B164" s="9"/>
      <c r="C164" s="25"/>
      <c r="F164" s="26"/>
    </row>
    <row r="165" spans="2:6" ht="12.5" x14ac:dyDescent="0.25">
      <c r="B165" s="9"/>
      <c r="C165" s="25"/>
      <c r="F165" s="26"/>
    </row>
    <row r="166" spans="2:6" ht="12.5" x14ac:dyDescent="0.25">
      <c r="B166" s="9"/>
      <c r="C166" s="25"/>
      <c r="F166" s="26"/>
    </row>
    <row r="167" spans="2:6" ht="12.5" x14ac:dyDescent="0.25">
      <c r="B167" s="9"/>
      <c r="C167" s="25"/>
      <c r="F167" s="26"/>
    </row>
    <row r="168" spans="2:6" ht="12.5" x14ac:dyDescent="0.25">
      <c r="B168" s="9"/>
      <c r="C168" s="25"/>
      <c r="F168" s="26"/>
    </row>
    <row r="169" spans="2:6" ht="12.5" x14ac:dyDescent="0.25">
      <c r="B169" s="9"/>
      <c r="C169" s="25"/>
      <c r="F169" s="26"/>
    </row>
    <row r="170" spans="2:6" ht="12.5" x14ac:dyDescent="0.25">
      <c r="B170" s="9"/>
      <c r="C170" s="25"/>
      <c r="F170" s="26"/>
    </row>
    <row r="171" spans="2:6" ht="12.5" x14ac:dyDescent="0.25">
      <c r="B171" s="9"/>
      <c r="C171" s="25"/>
      <c r="F171" s="26"/>
    </row>
    <row r="172" spans="2:6" ht="12.5" x14ac:dyDescent="0.25">
      <c r="B172" s="9"/>
      <c r="C172" s="25"/>
      <c r="F172" s="26"/>
    </row>
    <row r="173" spans="2:6" ht="12.5" x14ac:dyDescent="0.25">
      <c r="B173" s="9"/>
      <c r="C173" s="25"/>
      <c r="F173" s="26"/>
    </row>
    <row r="174" spans="2:6" ht="12.5" x14ac:dyDescent="0.25">
      <c r="B174" s="9"/>
      <c r="C174" s="25"/>
      <c r="F174" s="26"/>
    </row>
    <row r="175" spans="2:6" ht="12.5" x14ac:dyDescent="0.25">
      <c r="B175" s="9"/>
      <c r="C175" s="25"/>
      <c r="F175" s="26"/>
    </row>
    <row r="176" spans="2:6" ht="12.5" x14ac:dyDescent="0.25">
      <c r="B176" s="9"/>
      <c r="C176" s="25"/>
      <c r="F176" s="26"/>
    </row>
    <row r="177" spans="2:6" ht="12.5" x14ac:dyDescent="0.25">
      <c r="B177" s="9"/>
      <c r="C177" s="25"/>
      <c r="F177" s="26"/>
    </row>
    <row r="178" spans="2:6" ht="12.5" x14ac:dyDescent="0.25">
      <c r="B178" s="9"/>
      <c r="C178" s="25"/>
      <c r="F178" s="26"/>
    </row>
    <row r="179" spans="2:6" ht="12.5" x14ac:dyDescent="0.25">
      <c r="B179" s="9"/>
      <c r="C179" s="25"/>
      <c r="F179" s="26"/>
    </row>
    <row r="180" spans="2:6" ht="12.5" x14ac:dyDescent="0.25">
      <c r="B180" s="9"/>
      <c r="C180" s="25"/>
      <c r="F180" s="26"/>
    </row>
    <row r="181" spans="2:6" ht="12.5" x14ac:dyDescent="0.25">
      <c r="B181" s="9"/>
      <c r="C181" s="25"/>
      <c r="F181" s="26"/>
    </row>
    <row r="182" spans="2:6" ht="12.5" x14ac:dyDescent="0.25">
      <c r="B182" s="9"/>
      <c r="C182" s="25"/>
      <c r="F182" s="26"/>
    </row>
    <row r="183" spans="2:6" ht="12.5" x14ac:dyDescent="0.25">
      <c r="B183" s="9"/>
      <c r="C183" s="25"/>
      <c r="F183" s="26"/>
    </row>
    <row r="184" spans="2:6" ht="12.5" x14ac:dyDescent="0.25">
      <c r="B184" s="9"/>
      <c r="C184" s="25"/>
      <c r="F184" s="26"/>
    </row>
    <row r="185" spans="2:6" ht="12.5" x14ac:dyDescent="0.25">
      <c r="B185" s="9"/>
      <c r="C185" s="25"/>
      <c r="F185" s="26"/>
    </row>
    <row r="186" spans="2:6" ht="12.5" x14ac:dyDescent="0.25">
      <c r="B186" s="9"/>
      <c r="C186" s="25"/>
      <c r="F186" s="26"/>
    </row>
    <row r="187" spans="2:6" ht="12.5" x14ac:dyDescent="0.25">
      <c r="B187" s="9"/>
      <c r="C187" s="25"/>
      <c r="F187" s="26"/>
    </row>
    <row r="188" spans="2:6" ht="12.5" x14ac:dyDescent="0.25">
      <c r="B188" s="9"/>
      <c r="C188" s="25"/>
      <c r="F188" s="26"/>
    </row>
    <row r="189" spans="2:6" ht="12.5" x14ac:dyDescent="0.25">
      <c r="B189" s="9"/>
      <c r="C189" s="25"/>
      <c r="F189" s="26"/>
    </row>
    <row r="190" spans="2:6" ht="12.5" x14ac:dyDescent="0.25">
      <c r="B190" s="9"/>
      <c r="C190" s="25"/>
      <c r="F190" s="26"/>
    </row>
    <row r="191" spans="2:6" ht="12.5" x14ac:dyDescent="0.25">
      <c r="B191" s="9"/>
      <c r="C191" s="25"/>
      <c r="F191" s="26"/>
    </row>
    <row r="192" spans="2:6" ht="12.5" x14ac:dyDescent="0.25">
      <c r="B192" s="9"/>
      <c r="C192" s="25"/>
      <c r="F192" s="26"/>
    </row>
    <row r="193" spans="2:6" ht="12.5" x14ac:dyDescent="0.25">
      <c r="B193" s="9"/>
      <c r="C193" s="25"/>
      <c r="F193" s="26"/>
    </row>
    <row r="194" spans="2:6" ht="12.5" x14ac:dyDescent="0.25">
      <c r="B194" s="9"/>
      <c r="C194" s="25"/>
      <c r="F194" s="26"/>
    </row>
    <row r="195" spans="2:6" ht="12.5" x14ac:dyDescent="0.25">
      <c r="B195" s="9"/>
      <c r="C195" s="25"/>
      <c r="F195" s="26"/>
    </row>
    <row r="196" spans="2:6" ht="12.5" x14ac:dyDescent="0.25">
      <c r="B196" s="9"/>
      <c r="C196" s="25"/>
      <c r="F196" s="26"/>
    </row>
    <row r="197" spans="2:6" ht="12.5" x14ac:dyDescent="0.25">
      <c r="B197" s="9"/>
      <c r="C197" s="25"/>
      <c r="F197" s="26"/>
    </row>
    <row r="198" spans="2:6" ht="12.5" x14ac:dyDescent="0.25">
      <c r="B198" s="9"/>
      <c r="C198" s="25"/>
      <c r="F198" s="26"/>
    </row>
    <row r="199" spans="2:6" ht="12.5" x14ac:dyDescent="0.25">
      <c r="B199" s="9"/>
      <c r="C199" s="25"/>
      <c r="F199" s="26"/>
    </row>
    <row r="200" spans="2:6" ht="12.5" x14ac:dyDescent="0.25">
      <c r="B200" s="9"/>
      <c r="C200" s="25"/>
      <c r="F200" s="26"/>
    </row>
    <row r="201" spans="2:6" ht="12.5" x14ac:dyDescent="0.25">
      <c r="B201" s="9"/>
      <c r="C201" s="25"/>
      <c r="F201" s="26"/>
    </row>
    <row r="202" spans="2:6" ht="12.5" x14ac:dyDescent="0.25">
      <c r="B202" s="9"/>
      <c r="C202" s="25"/>
      <c r="F202" s="26"/>
    </row>
    <row r="203" spans="2:6" ht="12.5" x14ac:dyDescent="0.25">
      <c r="B203" s="9"/>
      <c r="C203" s="25"/>
      <c r="F203" s="26"/>
    </row>
    <row r="204" spans="2:6" ht="12.5" x14ac:dyDescent="0.25">
      <c r="B204" s="9"/>
      <c r="C204" s="25"/>
      <c r="F204" s="26"/>
    </row>
    <row r="205" spans="2:6" ht="12.5" x14ac:dyDescent="0.25">
      <c r="B205" s="9"/>
      <c r="C205" s="25"/>
      <c r="F205" s="26"/>
    </row>
    <row r="206" spans="2:6" ht="12.5" x14ac:dyDescent="0.25">
      <c r="B206" s="9"/>
      <c r="C206" s="25"/>
      <c r="F206" s="26"/>
    </row>
    <row r="207" spans="2:6" ht="12.5" x14ac:dyDescent="0.25">
      <c r="B207" s="9"/>
      <c r="C207" s="25"/>
      <c r="F207" s="26"/>
    </row>
    <row r="208" spans="2:6" ht="12.5" x14ac:dyDescent="0.25">
      <c r="B208" s="9"/>
      <c r="C208" s="25"/>
      <c r="F208" s="26"/>
    </row>
    <row r="209" spans="2:6" ht="12.5" x14ac:dyDescent="0.25">
      <c r="B209" s="9"/>
      <c r="C209" s="25"/>
      <c r="F209" s="26"/>
    </row>
    <row r="210" spans="2:6" ht="12.5" x14ac:dyDescent="0.25">
      <c r="B210" s="9"/>
      <c r="C210" s="25"/>
      <c r="F210" s="26"/>
    </row>
    <row r="211" spans="2:6" ht="12.5" x14ac:dyDescent="0.25">
      <c r="B211" s="9"/>
      <c r="C211" s="25"/>
      <c r="F211" s="26"/>
    </row>
    <row r="212" spans="2:6" ht="12.5" x14ac:dyDescent="0.25">
      <c r="B212" s="9"/>
      <c r="C212" s="25"/>
      <c r="F212" s="26"/>
    </row>
    <row r="213" spans="2:6" ht="12.5" x14ac:dyDescent="0.25">
      <c r="B213" s="9"/>
      <c r="C213" s="25"/>
      <c r="F213" s="26"/>
    </row>
    <row r="214" spans="2:6" ht="12.5" x14ac:dyDescent="0.25">
      <c r="B214" s="9"/>
      <c r="C214" s="25"/>
      <c r="F214" s="26"/>
    </row>
    <row r="215" spans="2:6" ht="12.5" x14ac:dyDescent="0.25">
      <c r="B215" s="9"/>
      <c r="C215" s="25"/>
      <c r="F215" s="26"/>
    </row>
    <row r="216" spans="2:6" ht="12.5" x14ac:dyDescent="0.25">
      <c r="B216" s="9"/>
      <c r="C216" s="25"/>
      <c r="F216" s="26"/>
    </row>
    <row r="217" spans="2:6" ht="12.5" x14ac:dyDescent="0.25">
      <c r="B217" s="9"/>
      <c r="C217" s="25"/>
      <c r="F217" s="26"/>
    </row>
    <row r="218" spans="2:6" ht="12.5" x14ac:dyDescent="0.25">
      <c r="B218" s="9"/>
      <c r="C218" s="25"/>
      <c r="F218" s="26"/>
    </row>
    <row r="219" spans="2:6" ht="12.5" x14ac:dyDescent="0.25">
      <c r="B219" s="9"/>
      <c r="C219" s="25"/>
      <c r="F219" s="26"/>
    </row>
    <row r="220" spans="2:6" ht="12.5" x14ac:dyDescent="0.25">
      <c r="B220" s="9"/>
      <c r="C220" s="25"/>
      <c r="F220" s="26"/>
    </row>
    <row r="221" spans="2:6" ht="12.5" x14ac:dyDescent="0.25">
      <c r="B221" s="9"/>
      <c r="C221" s="25"/>
      <c r="F221" s="26"/>
    </row>
    <row r="222" spans="2:6" ht="12.5" x14ac:dyDescent="0.25">
      <c r="B222" s="9"/>
      <c r="C222" s="25"/>
      <c r="F222" s="26"/>
    </row>
    <row r="223" spans="2:6" ht="12.5" x14ac:dyDescent="0.25">
      <c r="B223" s="9"/>
      <c r="C223" s="25"/>
      <c r="F223" s="26"/>
    </row>
    <row r="224" spans="2:6" ht="12.5" x14ac:dyDescent="0.25">
      <c r="B224" s="9"/>
      <c r="C224" s="25"/>
      <c r="F224" s="26"/>
    </row>
    <row r="225" spans="2:6" ht="12.5" x14ac:dyDescent="0.25">
      <c r="B225" s="9"/>
      <c r="C225" s="25"/>
      <c r="F225" s="26"/>
    </row>
    <row r="226" spans="2:6" ht="12.5" x14ac:dyDescent="0.25">
      <c r="B226" s="9"/>
      <c r="C226" s="25"/>
      <c r="F226" s="26"/>
    </row>
    <row r="227" spans="2:6" ht="12.5" x14ac:dyDescent="0.25">
      <c r="B227" s="9"/>
      <c r="C227" s="25"/>
      <c r="F227" s="26"/>
    </row>
    <row r="228" spans="2:6" ht="12.5" x14ac:dyDescent="0.25">
      <c r="B228" s="9"/>
      <c r="C228" s="25"/>
      <c r="F228" s="26"/>
    </row>
    <row r="229" spans="2:6" ht="12.5" x14ac:dyDescent="0.25">
      <c r="B229" s="9"/>
      <c r="C229" s="25"/>
      <c r="F229" s="26"/>
    </row>
    <row r="230" spans="2:6" ht="12.5" x14ac:dyDescent="0.25">
      <c r="B230" s="9"/>
      <c r="C230" s="25"/>
      <c r="F230" s="26"/>
    </row>
    <row r="231" spans="2:6" ht="12.5" x14ac:dyDescent="0.25">
      <c r="B231" s="9"/>
      <c r="C231" s="25"/>
      <c r="F231" s="26"/>
    </row>
    <row r="232" spans="2:6" ht="12.5" x14ac:dyDescent="0.25">
      <c r="B232" s="9"/>
      <c r="C232" s="25"/>
      <c r="F232" s="26"/>
    </row>
    <row r="233" spans="2:6" ht="12.5" x14ac:dyDescent="0.25">
      <c r="B233" s="9"/>
      <c r="C233" s="25"/>
      <c r="F233" s="26"/>
    </row>
    <row r="234" spans="2:6" ht="12.5" x14ac:dyDescent="0.25">
      <c r="B234" s="9"/>
      <c r="C234" s="25"/>
      <c r="F234" s="26"/>
    </row>
    <row r="235" spans="2:6" ht="12.5" x14ac:dyDescent="0.25">
      <c r="B235" s="9"/>
      <c r="C235" s="25"/>
      <c r="F235" s="26"/>
    </row>
    <row r="236" spans="2:6" ht="12.5" x14ac:dyDescent="0.25">
      <c r="B236" s="9"/>
      <c r="C236" s="25"/>
      <c r="F236" s="26"/>
    </row>
    <row r="237" spans="2:6" ht="12.5" x14ac:dyDescent="0.25">
      <c r="B237" s="9"/>
      <c r="C237" s="25"/>
      <c r="F237" s="26"/>
    </row>
    <row r="238" spans="2:6" ht="12.5" x14ac:dyDescent="0.25">
      <c r="B238" s="9"/>
      <c r="C238" s="25"/>
      <c r="F238" s="26"/>
    </row>
    <row r="239" spans="2:6" ht="12.5" x14ac:dyDescent="0.25">
      <c r="B239" s="9"/>
      <c r="C239" s="25"/>
      <c r="F239" s="26"/>
    </row>
    <row r="240" spans="2:6" ht="12.5" x14ac:dyDescent="0.25">
      <c r="B240" s="9"/>
      <c r="C240" s="25"/>
      <c r="F240" s="26"/>
    </row>
    <row r="241" spans="2:6" ht="12.5" x14ac:dyDescent="0.25">
      <c r="B241" s="9"/>
      <c r="C241" s="25"/>
      <c r="F241" s="26"/>
    </row>
    <row r="242" spans="2:6" ht="12.5" x14ac:dyDescent="0.25">
      <c r="B242" s="9"/>
      <c r="C242" s="25"/>
      <c r="F242" s="26"/>
    </row>
    <row r="243" spans="2:6" ht="12.5" x14ac:dyDescent="0.25">
      <c r="B243" s="9"/>
      <c r="C243" s="25"/>
      <c r="F243" s="26"/>
    </row>
    <row r="244" spans="2:6" ht="12.5" x14ac:dyDescent="0.25">
      <c r="B244" s="9"/>
      <c r="C244" s="25"/>
      <c r="F244" s="26"/>
    </row>
    <row r="245" spans="2:6" ht="12.5" x14ac:dyDescent="0.25">
      <c r="B245" s="9"/>
      <c r="C245" s="25"/>
      <c r="F245" s="26"/>
    </row>
    <row r="246" spans="2:6" ht="12.5" x14ac:dyDescent="0.25">
      <c r="B246" s="9"/>
      <c r="C246" s="25"/>
      <c r="F246" s="26"/>
    </row>
    <row r="247" spans="2:6" ht="12.5" x14ac:dyDescent="0.25">
      <c r="B247" s="9"/>
      <c r="C247" s="25"/>
      <c r="F247" s="26"/>
    </row>
    <row r="248" spans="2:6" ht="12.5" x14ac:dyDescent="0.25">
      <c r="B248" s="9"/>
      <c r="C248" s="25"/>
      <c r="F248" s="26"/>
    </row>
    <row r="249" spans="2:6" ht="12.5" x14ac:dyDescent="0.25">
      <c r="B249" s="9"/>
      <c r="C249" s="25"/>
      <c r="F249" s="26"/>
    </row>
    <row r="250" spans="2:6" ht="12.5" x14ac:dyDescent="0.25">
      <c r="B250" s="9"/>
      <c r="C250" s="25"/>
      <c r="F250" s="26"/>
    </row>
    <row r="251" spans="2:6" ht="12.5" x14ac:dyDescent="0.25">
      <c r="B251" s="9"/>
      <c r="C251" s="25"/>
      <c r="F251" s="26"/>
    </row>
    <row r="252" spans="2:6" ht="12.5" x14ac:dyDescent="0.25">
      <c r="B252" s="9"/>
      <c r="C252" s="25"/>
      <c r="F252" s="26"/>
    </row>
    <row r="253" spans="2:6" ht="12.5" x14ac:dyDescent="0.25">
      <c r="B253" s="9"/>
      <c r="C253" s="25"/>
      <c r="F253" s="26"/>
    </row>
    <row r="254" spans="2:6" ht="12.5" x14ac:dyDescent="0.25">
      <c r="B254" s="9"/>
      <c r="C254" s="25"/>
      <c r="F254" s="26"/>
    </row>
    <row r="255" spans="2:6" ht="12.5" x14ac:dyDescent="0.25">
      <c r="B255" s="9"/>
      <c r="C255" s="25"/>
      <c r="F255" s="26"/>
    </row>
    <row r="256" spans="2:6" ht="12.5" x14ac:dyDescent="0.25">
      <c r="B256" s="9"/>
      <c r="C256" s="25"/>
      <c r="F256" s="26"/>
    </row>
    <row r="257" spans="2:6" ht="12.5" x14ac:dyDescent="0.25">
      <c r="B257" s="9"/>
      <c r="C257" s="25"/>
      <c r="F257" s="26"/>
    </row>
    <row r="258" spans="2:6" ht="12.5" x14ac:dyDescent="0.25">
      <c r="B258" s="9"/>
      <c r="C258" s="25"/>
      <c r="F258" s="26"/>
    </row>
    <row r="259" spans="2:6" ht="12.5" x14ac:dyDescent="0.25">
      <c r="B259" s="9"/>
      <c r="C259" s="25"/>
      <c r="F259" s="26"/>
    </row>
    <row r="260" spans="2:6" ht="12.5" x14ac:dyDescent="0.25">
      <c r="B260" s="9"/>
      <c r="C260" s="25"/>
      <c r="F260" s="26"/>
    </row>
    <row r="261" spans="2:6" ht="12.5" x14ac:dyDescent="0.25">
      <c r="B261" s="9"/>
      <c r="C261" s="25"/>
      <c r="F261" s="26"/>
    </row>
    <row r="262" spans="2:6" ht="12.5" x14ac:dyDescent="0.25">
      <c r="B262" s="9"/>
      <c r="C262" s="25"/>
      <c r="F262" s="26"/>
    </row>
    <row r="263" spans="2:6" ht="12.5" x14ac:dyDescent="0.25">
      <c r="B263" s="9"/>
      <c r="C263" s="25"/>
      <c r="F263" s="26"/>
    </row>
    <row r="264" spans="2:6" ht="12.5" x14ac:dyDescent="0.25">
      <c r="B264" s="9"/>
      <c r="C264" s="25"/>
      <c r="F264" s="26"/>
    </row>
    <row r="265" spans="2:6" ht="12.5" x14ac:dyDescent="0.25">
      <c r="B265" s="9"/>
      <c r="C265" s="25"/>
      <c r="F265" s="26"/>
    </row>
    <row r="266" spans="2:6" ht="12.5" x14ac:dyDescent="0.25">
      <c r="B266" s="9"/>
      <c r="C266" s="25"/>
      <c r="F266" s="26"/>
    </row>
    <row r="267" spans="2:6" ht="12.5" x14ac:dyDescent="0.25">
      <c r="B267" s="9"/>
      <c r="C267" s="25"/>
      <c r="F267" s="26"/>
    </row>
    <row r="268" spans="2:6" ht="12.5" x14ac:dyDescent="0.25">
      <c r="B268" s="9"/>
      <c r="C268" s="25"/>
      <c r="F268" s="26"/>
    </row>
    <row r="269" spans="2:6" ht="12.5" x14ac:dyDescent="0.25">
      <c r="B269" s="9"/>
      <c r="C269" s="25"/>
      <c r="F269" s="26"/>
    </row>
    <row r="270" spans="2:6" ht="12.5" x14ac:dyDescent="0.25">
      <c r="B270" s="9"/>
      <c r="C270" s="25"/>
      <c r="F270" s="26"/>
    </row>
    <row r="271" spans="2:6" ht="12.5" x14ac:dyDescent="0.25">
      <c r="B271" s="9"/>
      <c r="C271" s="25"/>
      <c r="F271" s="26"/>
    </row>
    <row r="272" spans="2:6" ht="12.5" x14ac:dyDescent="0.25">
      <c r="B272" s="9"/>
      <c r="C272" s="25"/>
      <c r="F272" s="26"/>
    </row>
    <row r="273" spans="2:6" ht="12.5" x14ac:dyDescent="0.25">
      <c r="B273" s="9"/>
      <c r="C273" s="25"/>
      <c r="F273" s="26"/>
    </row>
    <row r="274" spans="2:6" ht="12.5" x14ac:dyDescent="0.25">
      <c r="B274" s="9"/>
      <c r="C274" s="25"/>
      <c r="F274" s="26"/>
    </row>
    <row r="275" spans="2:6" ht="12.5" x14ac:dyDescent="0.25">
      <c r="B275" s="9"/>
      <c r="C275" s="25"/>
      <c r="F275" s="26"/>
    </row>
    <row r="276" spans="2:6" ht="12.5" x14ac:dyDescent="0.25">
      <c r="B276" s="9"/>
      <c r="C276" s="25"/>
      <c r="F276" s="26"/>
    </row>
    <row r="277" spans="2:6" ht="12.5" x14ac:dyDescent="0.25">
      <c r="B277" s="9"/>
      <c r="C277" s="25"/>
      <c r="F277" s="26"/>
    </row>
    <row r="278" spans="2:6" ht="12.5" x14ac:dyDescent="0.25">
      <c r="B278" s="9"/>
      <c r="C278" s="25"/>
      <c r="F278" s="26"/>
    </row>
    <row r="279" spans="2:6" ht="12.5" x14ac:dyDescent="0.25">
      <c r="B279" s="9"/>
      <c r="C279" s="25"/>
      <c r="F279" s="26"/>
    </row>
    <row r="280" spans="2:6" ht="12.5" x14ac:dyDescent="0.25">
      <c r="B280" s="9"/>
      <c r="C280" s="25"/>
      <c r="F280" s="26"/>
    </row>
    <row r="281" spans="2:6" ht="12.5" x14ac:dyDescent="0.25">
      <c r="B281" s="9"/>
      <c r="C281" s="25"/>
      <c r="F281" s="26"/>
    </row>
    <row r="282" spans="2:6" ht="12.5" x14ac:dyDescent="0.25">
      <c r="B282" s="9"/>
      <c r="C282" s="25"/>
      <c r="F282" s="26"/>
    </row>
    <row r="283" spans="2:6" ht="12.5" x14ac:dyDescent="0.25">
      <c r="B283" s="9"/>
      <c r="C283" s="25"/>
      <c r="F283" s="26"/>
    </row>
    <row r="284" spans="2:6" ht="12.5" x14ac:dyDescent="0.25">
      <c r="B284" s="9"/>
      <c r="C284" s="25"/>
      <c r="F284" s="26"/>
    </row>
    <row r="285" spans="2:6" ht="12.5" x14ac:dyDescent="0.25">
      <c r="B285" s="9"/>
      <c r="C285" s="25"/>
      <c r="F285" s="26"/>
    </row>
    <row r="286" spans="2:6" ht="12.5" x14ac:dyDescent="0.25">
      <c r="B286" s="9"/>
      <c r="C286" s="25"/>
      <c r="F286" s="26"/>
    </row>
    <row r="287" spans="2:6" ht="12.5" x14ac:dyDescent="0.25">
      <c r="B287" s="9"/>
      <c r="C287" s="25"/>
      <c r="F287" s="26"/>
    </row>
    <row r="288" spans="2:6" ht="12.5" x14ac:dyDescent="0.25">
      <c r="B288" s="9"/>
      <c r="C288" s="25"/>
      <c r="F288" s="26"/>
    </row>
    <row r="289" spans="2:6" ht="12.5" x14ac:dyDescent="0.25">
      <c r="B289" s="9"/>
      <c r="C289" s="25"/>
      <c r="F289" s="26"/>
    </row>
    <row r="290" spans="2:6" ht="12.5" x14ac:dyDescent="0.25">
      <c r="B290" s="9"/>
      <c r="C290" s="25"/>
      <c r="F290" s="26"/>
    </row>
    <row r="291" spans="2:6" ht="12.5" x14ac:dyDescent="0.25">
      <c r="B291" s="9"/>
      <c r="C291" s="25"/>
      <c r="F291" s="26"/>
    </row>
    <row r="292" spans="2:6" ht="12.5" x14ac:dyDescent="0.25">
      <c r="B292" s="9"/>
      <c r="C292" s="25"/>
      <c r="F292" s="26"/>
    </row>
    <row r="293" spans="2:6" ht="12.5" x14ac:dyDescent="0.25">
      <c r="B293" s="9"/>
      <c r="C293" s="25"/>
      <c r="F293" s="26"/>
    </row>
    <row r="294" spans="2:6" ht="12.5" x14ac:dyDescent="0.25">
      <c r="B294" s="9"/>
      <c r="C294" s="25"/>
      <c r="F294" s="26"/>
    </row>
    <row r="295" spans="2:6" ht="12.5" x14ac:dyDescent="0.25">
      <c r="B295" s="9"/>
      <c r="C295" s="25"/>
      <c r="F295" s="26"/>
    </row>
    <row r="296" spans="2:6" ht="12.5" x14ac:dyDescent="0.25">
      <c r="B296" s="9"/>
      <c r="C296" s="25"/>
      <c r="F296" s="26"/>
    </row>
    <row r="297" spans="2:6" ht="12.5" x14ac:dyDescent="0.25">
      <c r="B297" s="9"/>
      <c r="C297" s="25"/>
      <c r="F297" s="26"/>
    </row>
    <row r="298" spans="2:6" ht="12.5" x14ac:dyDescent="0.25">
      <c r="B298" s="9"/>
      <c r="C298" s="25"/>
      <c r="F298" s="26"/>
    </row>
    <row r="299" spans="2:6" ht="12.5" x14ac:dyDescent="0.25">
      <c r="B299" s="9"/>
      <c r="C299" s="25"/>
      <c r="F299" s="26"/>
    </row>
    <row r="300" spans="2:6" ht="12.5" x14ac:dyDescent="0.25">
      <c r="B300" s="9"/>
      <c r="C300" s="25"/>
      <c r="F300" s="26"/>
    </row>
    <row r="301" spans="2:6" ht="12.5" x14ac:dyDescent="0.25">
      <c r="B301" s="9"/>
      <c r="C301" s="25"/>
      <c r="F301" s="26"/>
    </row>
    <row r="302" spans="2:6" ht="12.5" x14ac:dyDescent="0.25">
      <c r="B302" s="9"/>
      <c r="C302" s="25"/>
      <c r="F302" s="26"/>
    </row>
    <row r="303" spans="2:6" ht="12.5" x14ac:dyDescent="0.25">
      <c r="B303" s="9"/>
      <c r="C303" s="25"/>
      <c r="F303" s="26"/>
    </row>
    <row r="304" spans="2:6" ht="12.5" x14ac:dyDescent="0.25">
      <c r="B304" s="9"/>
      <c r="C304" s="25"/>
      <c r="F304" s="26"/>
    </row>
    <row r="305" spans="2:6" ht="12.5" x14ac:dyDescent="0.25">
      <c r="B305" s="9"/>
      <c r="C305" s="25"/>
      <c r="F305" s="26"/>
    </row>
    <row r="306" spans="2:6" ht="12.5" x14ac:dyDescent="0.25">
      <c r="B306" s="9"/>
      <c r="C306" s="25"/>
      <c r="F306" s="26"/>
    </row>
    <row r="307" spans="2:6" ht="12.5" x14ac:dyDescent="0.25">
      <c r="B307" s="9"/>
      <c r="C307" s="25"/>
      <c r="F307" s="26"/>
    </row>
    <row r="308" spans="2:6" ht="12.5" x14ac:dyDescent="0.25">
      <c r="B308" s="9"/>
      <c r="C308" s="25"/>
      <c r="F308" s="26"/>
    </row>
    <row r="309" spans="2:6" ht="12.5" x14ac:dyDescent="0.25">
      <c r="B309" s="9"/>
      <c r="C309" s="25"/>
      <c r="F309" s="26"/>
    </row>
    <row r="310" spans="2:6" ht="12.5" x14ac:dyDescent="0.25">
      <c r="B310" s="9"/>
      <c r="C310" s="25"/>
      <c r="F310" s="26"/>
    </row>
    <row r="311" spans="2:6" ht="12.5" x14ac:dyDescent="0.25">
      <c r="B311" s="9"/>
      <c r="C311" s="25"/>
      <c r="F311" s="26"/>
    </row>
    <row r="312" spans="2:6" ht="12.5" x14ac:dyDescent="0.25">
      <c r="B312" s="9"/>
      <c r="C312" s="25"/>
      <c r="F312" s="26"/>
    </row>
    <row r="313" spans="2:6" ht="12.5" x14ac:dyDescent="0.25">
      <c r="B313" s="9"/>
      <c r="C313" s="25"/>
      <c r="F313" s="26"/>
    </row>
    <row r="314" spans="2:6" ht="12.5" x14ac:dyDescent="0.25">
      <c r="B314" s="9"/>
      <c r="C314" s="25"/>
      <c r="F314" s="26"/>
    </row>
    <row r="315" spans="2:6" ht="12.5" x14ac:dyDescent="0.25">
      <c r="B315" s="9"/>
      <c r="C315" s="25"/>
      <c r="F315" s="26"/>
    </row>
    <row r="316" spans="2:6" ht="12.5" x14ac:dyDescent="0.25">
      <c r="B316" s="9"/>
      <c r="C316" s="25"/>
      <c r="F316" s="26"/>
    </row>
    <row r="317" spans="2:6" ht="12.5" x14ac:dyDescent="0.25">
      <c r="B317" s="9"/>
      <c r="C317" s="25"/>
      <c r="F317" s="26"/>
    </row>
    <row r="318" spans="2:6" ht="12.5" x14ac:dyDescent="0.25">
      <c r="B318" s="9"/>
      <c r="C318" s="25"/>
      <c r="F318" s="26"/>
    </row>
    <row r="319" spans="2:6" ht="12.5" x14ac:dyDescent="0.25">
      <c r="B319" s="9"/>
      <c r="C319" s="25"/>
      <c r="F319" s="26"/>
    </row>
    <row r="320" spans="2:6" ht="12.5" x14ac:dyDescent="0.25">
      <c r="B320" s="9"/>
      <c r="C320" s="25"/>
      <c r="F320" s="26"/>
    </row>
    <row r="321" spans="2:6" ht="12.5" x14ac:dyDescent="0.25">
      <c r="B321" s="9"/>
      <c r="C321" s="25"/>
      <c r="F321" s="26"/>
    </row>
    <row r="322" spans="2:6" ht="12.5" x14ac:dyDescent="0.25">
      <c r="B322" s="9"/>
      <c r="C322" s="25"/>
      <c r="F322" s="26"/>
    </row>
    <row r="323" spans="2:6" ht="12.5" x14ac:dyDescent="0.25">
      <c r="B323" s="9"/>
      <c r="C323" s="25"/>
      <c r="F323" s="26"/>
    </row>
    <row r="324" spans="2:6" ht="12.5" x14ac:dyDescent="0.25">
      <c r="B324" s="9"/>
      <c r="C324" s="25"/>
      <c r="F324" s="26"/>
    </row>
    <row r="325" spans="2:6" ht="12.5" x14ac:dyDescent="0.25">
      <c r="B325" s="9"/>
      <c r="C325" s="25"/>
      <c r="F325" s="26"/>
    </row>
    <row r="326" spans="2:6" ht="12.5" x14ac:dyDescent="0.25">
      <c r="B326" s="9"/>
      <c r="C326" s="25"/>
      <c r="F326" s="26"/>
    </row>
    <row r="327" spans="2:6" ht="12.5" x14ac:dyDescent="0.25">
      <c r="B327" s="9"/>
      <c r="C327" s="25"/>
      <c r="F327" s="26"/>
    </row>
    <row r="328" spans="2:6" ht="12.5" x14ac:dyDescent="0.25">
      <c r="B328" s="9"/>
      <c r="C328" s="25"/>
      <c r="F328" s="26"/>
    </row>
    <row r="329" spans="2:6" ht="12.5" x14ac:dyDescent="0.25">
      <c r="B329" s="9"/>
      <c r="C329" s="25"/>
      <c r="F329" s="26"/>
    </row>
    <row r="330" spans="2:6" ht="12.5" x14ac:dyDescent="0.25">
      <c r="B330" s="9"/>
      <c r="C330" s="25"/>
      <c r="F330" s="26"/>
    </row>
    <row r="331" spans="2:6" ht="12.5" x14ac:dyDescent="0.25">
      <c r="B331" s="9"/>
      <c r="C331" s="25"/>
      <c r="F331" s="26"/>
    </row>
    <row r="332" spans="2:6" ht="12.5" x14ac:dyDescent="0.25">
      <c r="B332" s="9"/>
      <c r="C332" s="25"/>
      <c r="F332" s="26"/>
    </row>
    <row r="333" spans="2:6" ht="12.5" x14ac:dyDescent="0.25">
      <c r="B333" s="9"/>
      <c r="C333" s="25"/>
      <c r="F333" s="26"/>
    </row>
    <row r="334" spans="2:6" ht="12.5" x14ac:dyDescent="0.25">
      <c r="B334" s="9"/>
      <c r="C334" s="25"/>
      <c r="F334" s="26"/>
    </row>
    <row r="335" spans="2:6" ht="12.5" x14ac:dyDescent="0.25">
      <c r="B335" s="9"/>
      <c r="C335" s="25"/>
      <c r="F335" s="26"/>
    </row>
    <row r="336" spans="2:6" ht="12.5" x14ac:dyDescent="0.25">
      <c r="B336" s="9"/>
      <c r="C336" s="25"/>
      <c r="F336" s="26"/>
    </row>
    <row r="337" spans="2:6" ht="12.5" x14ac:dyDescent="0.25">
      <c r="B337" s="9"/>
      <c r="C337" s="25"/>
      <c r="F337" s="26"/>
    </row>
    <row r="338" spans="2:6" ht="12.5" x14ac:dyDescent="0.25">
      <c r="B338" s="9"/>
      <c r="C338" s="25"/>
      <c r="F338" s="26"/>
    </row>
    <row r="339" spans="2:6" ht="12.5" x14ac:dyDescent="0.25">
      <c r="B339" s="9"/>
      <c r="C339" s="25"/>
      <c r="F339" s="26"/>
    </row>
    <row r="340" spans="2:6" ht="12.5" x14ac:dyDescent="0.25">
      <c r="B340" s="9"/>
      <c r="C340" s="25"/>
      <c r="F340" s="26"/>
    </row>
    <row r="341" spans="2:6" ht="12.5" x14ac:dyDescent="0.25">
      <c r="B341" s="9"/>
      <c r="C341" s="25"/>
      <c r="F341" s="26"/>
    </row>
    <row r="342" spans="2:6" ht="12.5" x14ac:dyDescent="0.25">
      <c r="B342" s="9"/>
      <c r="C342" s="25"/>
      <c r="F342" s="26"/>
    </row>
    <row r="343" spans="2:6" ht="12.5" x14ac:dyDescent="0.25">
      <c r="B343" s="9"/>
      <c r="C343" s="25"/>
      <c r="F343" s="26"/>
    </row>
    <row r="344" spans="2:6" ht="12.5" x14ac:dyDescent="0.25">
      <c r="B344" s="9"/>
      <c r="C344" s="25"/>
      <c r="F344" s="26"/>
    </row>
    <row r="345" spans="2:6" ht="12.5" x14ac:dyDescent="0.25">
      <c r="B345" s="9"/>
      <c r="C345" s="25"/>
      <c r="F345" s="26"/>
    </row>
    <row r="346" spans="2:6" ht="12.5" x14ac:dyDescent="0.25">
      <c r="B346" s="9"/>
      <c r="C346" s="25"/>
      <c r="F346" s="26"/>
    </row>
    <row r="347" spans="2:6" ht="12.5" x14ac:dyDescent="0.25">
      <c r="B347" s="9"/>
      <c r="C347" s="25"/>
      <c r="F347" s="26"/>
    </row>
    <row r="348" spans="2:6" ht="12.5" x14ac:dyDescent="0.25">
      <c r="B348" s="9"/>
      <c r="C348" s="25"/>
      <c r="F348" s="26"/>
    </row>
    <row r="349" spans="2:6" ht="12.5" x14ac:dyDescent="0.25">
      <c r="B349" s="9"/>
      <c r="C349" s="25"/>
      <c r="F349" s="26"/>
    </row>
    <row r="350" spans="2:6" ht="12.5" x14ac:dyDescent="0.25">
      <c r="B350" s="9"/>
      <c r="C350" s="25"/>
      <c r="F350" s="26"/>
    </row>
    <row r="351" spans="2:6" ht="12.5" x14ac:dyDescent="0.25">
      <c r="B351" s="9"/>
      <c r="C351" s="25"/>
      <c r="F351" s="26"/>
    </row>
    <row r="352" spans="2:6" ht="12.5" x14ac:dyDescent="0.25">
      <c r="B352" s="9"/>
      <c r="C352" s="25"/>
      <c r="F352" s="26"/>
    </row>
    <row r="353" spans="2:6" ht="12.5" x14ac:dyDescent="0.25">
      <c r="B353" s="9"/>
      <c r="C353" s="25"/>
      <c r="F353" s="26"/>
    </row>
    <row r="354" spans="2:6" ht="12.5" x14ac:dyDescent="0.25">
      <c r="B354" s="9"/>
      <c r="C354" s="25"/>
      <c r="F354" s="26"/>
    </row>
    <row r="355" spans="2:6" ht="12.5" x14ac:dyDescent="0.25">
      <c r="B355" s="9"/>
      <c r="C355" s="25"/>
      <c r="F355" s="26"/>
    </row>
    <row r="356" spans="2:6" ht="12.5" x14ac:dyDescent="0.25">
      <c r="B356" s="9"/>
      <c r="C356" s="25"/>
      <c r="F356" s="26"/>
    </row>
    <row r="357" spans="2:6" ht="12.5" x14ac:dyDescent="0.25">
      <c r="B357" s="9"/>
      <c r="C357" s="25"/>
      <c r="F357" s="26"/>
    </row>
    <row r="358" spans="2:6" ht="12.5" x14ac:dyDescent="0.25">
      <c r="B358" s="9"/>
      <c r="C358" s="25"/>
      <c r="F358" s="26"/>
    </row>
    <row r="359" spans="2:6" ht="12.5" x14ac:dyDescent="0.25">
      <c r="B359" s="9"/>
      <c r="C359" s="25"/>
      <c r="F359" s="26"/>
    </row>
    <row r="360" spans="2:6" ht="12.5" x14ac:dyDescent="0.25">
      <c r="B360" s="9"/>
      <c r="C360" s="25"/>
      <c r="F360" s="26"/>
    </row>
    <row r="361" spans="2:6" ht="12.5" x14ac:dyDescent="0.25">
      <c r="B361" s="9"/>
      <c r="C361" s="25"/>
      <c r="F361" s="26"/>
    </row>
    <row r="362" spans="2:6" ht="12.5" x14ac:dyDescent="0.25">
      <c r="B362" s="9"/>
      <c r="C362" s="25"/>
      <c r="F362" s="26"/>
    </row>
    <row r="363" spans="2:6" ht="12.5" x14ac:dyDescent="0.25">
      <c r="B363" s="9"/>
      <c r="C363" s="25"/>
      <c r="F363" s="26"/>
    </row>
    <row r="364" spans="2:6" ht="12.5" x14ac:dyDescent="0.25">
      <c r="B364" s="9"/>
      <c r="C364" s="25"/>
      <c r="F364" s="26"/>
    </row>
    <row r="365" spans="2:6" ht="12.5" x14ac:dyDescent="0.25">
      <c r="B365" s="9"/>
      <c r="C365" s="25"/>
      <c r="F365" s="26"/>
    </row>
    <row r="366" spans="2:6" ht="12.5" x14ac:dyDescent="0.25">
      <c r="B366" s="9"/>
      <c r="C366" s="25"/>
      <c r="F366" s="26"/>
    </row>
    <row r="367" spans="2:6" ht="12.5" x14ac:dyDescent="0.25">
      <c r="B367" s="9"/>
      <c r="C367" s="25"/>
      <c r="F367" s="26"/>
    </row>
    <row r="368" spans="2:6" ht="12.5" x14ac:dyDescent="0.25">
      <c r="B368" s="9"/>
      <c r="C368" s="25"/>
      <c r="F368" s="26"/>
    </row>
    <row r="369" spans="2:6" ht="12.5" x14ac:dyDescent="0.25">
      <c r="B369" s="9"/>
      <c r="C369" s="25"/>
      <c r="F369" s="26"/>
    </row>
    <row r="370" spans="2:6" ht="12.5" x14ac:dyDescent="0.25">
      <c r="B370" s="9"/>
      <c r="C370" s="25"/>
      <c r="F370" s="26"/>
    </row>
    <row r="371" spans="2:6" ht="12.5" x14ac:dyDescent="0.25">
      <c r="B371" s="9"/>
      <c r="C371" s="25"/>
      <c r="F371" s="26"/>
    </row>
    <row r="372" spans="2:6" ht="12.5" x14ac:dyDescent="0.25">
      <c r="B372" s="9"/>
      <c r="C372" s="25"/>
      <c r="F372" s="26"/>
    </row>
    <row r="373" spans="2:6" ht="12.5" x14ac:dyDescent="0.25">
      <c r="B373" s="9"/>
      <c r="C373" s="25"/>
      <c r="F373" s="26"/>
    </row>
    <row r="374" spans="2:6" ht="12.5" x14ac:dyDescent="0.25">
      <c r="B374" s="9"/>
      <c r="C374" s="25"/>
      <c r="F374" s="26"/>
    </row>
    <row r="375" spans="2:6" ht="12.5" x14ac:dyDescent="0.25">
      <c r="B375" s="9"/>
      <c r="C375" s="25"/>
      <c r="F375" s="26"/>
    </row>
    <row r="376" spans="2:6" ht="12.5" x14ac:dyDescent="0.25">
      <c r="B376" s="9"/>
      <c r="C376" s="25"/>
      <c r="F376" s="26"/>
    </row>
    <row r="377" spans="2:6" ht="12.5" x14ac:dyDescent="0.25">
      <c r="B377" s="9"/>
      <c r="C377" s="25"/>
      <c r="F377" s="26"/>
    </row>
    <row r="378" spans="2:6" ht="12.5" x14ac:dyDescent="0.25">
      <c r="B378" s="9"/>
      <c r="C378" s="25"/>
      <c r="F378" s="26"/>
    </row>
    <row r="379" spans="2:6" ht="12.5" x14ac:dyDescent="0.25">
      <c r="B379" s="9"/>
      <c r="C379" s="25"/>
      <c r="F379" s="26"/>
    </row>
    <row r="380" spans="2:6" ht="12.5" x14ac:dyDescent="0.25">
      <c r="B380" s="9"/>
      <c r="C380" s="25"/>
      <c r="F380" s="26"/>
    </row>
    <row r="381" spans="2:6" ht="12.5" x14ac:dyDescent="0.25">
      <c r="B381" s="9"/>
      <c r="C381" s="25"/>
      <c r="F381" s="26"/>
    </row>
    <row r="382" spans="2:6" ht="12.5" x14ac:dyDescent="0.25">
      <c r="B382" s="9"/>
      <c r="C382" s="25"/>
      <c r="F382" s="26"/>
    </row>
    <row r="383" spans="2:6" ht="12.5" x14ac:dyDescent="0.25">
      <c r="B383" s="9"/>
      <c r="C383" s="25"/>
      <c r="F383" s="26"/>
    </row>
    <row r="384" spans="2:6" ht="12.5" x14ac:dyDescent="0.25">
      <c r="B384" s="9"/>
      <c r="C384" s="25"/>
      <c r="F384" s="26"/>
    </row>
    <row r="385" spans="2:6" ht="12.5" x14ac:dyDescent="0.25">
      <c r="B385" s="9"/>
      <c r="C385" s="25"/>
      <c r="F385" s="26"/>
    </row>
    <row r="386" spans="2:6" ht="12.5" x14ac:dyDescent="0.25">
      <c r="B386" s="9"/>
      <c r="C386" s="25"/>
      <c r="F386" s="26"/>
    </row>
    <row r="387" spans="2:6" ht="12.5" x14ac:dyDescent="0.25">
      <c r="B387" s="9"/>
      <c r="C387" s="25"/>
      <c r="F387" s="26"/>
    </row>
    <row r="388" spans="2:6" ht="12.5" x14ac:dyDescent="0.25">
      <c r="B388" s="9"/>
      <c r="C388" s="25"/>
      <c r="F388" s="26"/>
    </row>
    <row r="389" spans="2:6" ht="12.5" x14ac:dyDescent="0.25">
      <c r="B389" s="9"/>
      <c r="C389" s="25"/>
      <c r="F389" s="26"/>
    </row>
    <row r="390" spans="2:6" ht="12.5" x14ac:dyDescent="0.25">
      <c r="B390" s="9"/>
      <c r="C390" s="25"/>
      <c r="F390" s="26"/>
    </row>
    <row r="391" spans="2:6" ht="12.5" x14ac:dyDescent="0.25">
      <c r="B391" s="9"/>
      <c r="C391" s="25"/>
      <c r="F391" s="26"/>
    </row>
    <row r="392" spans="2:6" ht="12.5" x14ac:dyDescent="0.25">
      <c r="B392" s="9"/>
      <c r="C392" s="25"/>
      <c r="F392" s="26"/>
    </row>
    <row r="393" spans="2:6" ht="12.5" x14ac:dyDescent="0.25">
      <c r="B393" s="9"/>
      <c r="C393" s="25"/>
      <c r="F393" s="26"/>
    </row>
    <row r="394" spans="2:6" ht="12.5" x14ac:dyDescent="0.25">
      <c r="B394" s="9"/>
      <c r="C394" s="25"/>
      <c r="F394" s="26"/>
    </row>
    <row r="395" spans="2:6" ht="12.5" x14ac:dyDescent="0.25">
      <c r="B395" s="9"/>
      <c r="C395" s="25"/>
      <c r="F395" s="26"/>
    </row>
    <row r="396" spans="2:6" ht="12.5" x14ac:dyDescent="0.25">
      <c r="B396" s="9"/>
      <c r="C396" s="25"/>
      <c r="F396" s="26"/>
    </row>
    <row r="397" spans="2:6" ht="12.5" x14ac:dyDescent="0.25">
      <c r="B397" s="9"/>
      <c r="C397" s="25"/>
      <c r="F397" s="26"/>
    </row>
    <row r="398" spans="2:6" ht="12.5" x14ac:dyDescent="0.25">
      <c r="B398" s="9"/>
      <c r="C398" s="25"/>
      <c r="F398" s="26"/>
    </row>
    <row r="399" spans="2:6" ht="12.5" x14ac:dyDescent="0.25">
      <c r="B399" s="9"/>
      <c r="C399" s="25"/>
      <c r="F399" s="26"/>
    </row>
    <row r="400" spans="2:6" ht="12.5" x14ac:dyDescent="0.25">
      <c r="B400" s="9"/>
      <c r="C400" s="25"/>
      <c r="F400" s="26"/>
    </row>
    <row r="401" spans="2:6" ht="12.5" x14ac:dyDescent="0.25">
      <c r="B401" s="9"/>
      <c r="C401" s="25"/>
      <c r="F401" s="26"/>
    </row>
    <row r="402" spans="2:6" ht="12.5" x14ac:dyDescent="0.25">
      <c r="B402" s="9"/>
      <c r="C402" s="25"/>
      <c r="F402" s="26"/>
    </row>
    <row r="403" spans="2:6" ht="12.5" x14ac:dyDescent="0.25">
      <c r="B403" s="9"/>
      <c r="C403" s="25"/>
      <c r="F403" s="26"/>
    </row>
    <row r="404" spans="2:6" ht="12.5" x14ac:dyDescent="0.25">
      <c r="B404" s="9"/>
      <c r="C404" s="25"/>
      <c r="F404" s="26"/>
    </row>
    <row r="405" spans="2:6" ht="12.5" x14ac:dyDescent="0.25">
      <c r="B405" s="9"/>
      <c r="C405" s="25"/>
      <c r="F405" s="26"/>
    </row>
    <row r="406" spans="2:6" ht="12.5" x14ac:dyDescent="0.25">
      <c r="B406" s="9"/>
      <c r="C406" s="25"/>
      <c r="F406" s="26"/>
    </row>
    <row r="407" spans="2:6" ht="12.5" x14ac:dyDescent="0.25">
      <c r="B407" s="9"/>
      <c r="C407" s="25"/>
      <c r="F407" s="26"/>
    </row>
    <row r="408" spans="2:6" ht="12.5" x14ac:dyDescent="0.25">
      <c r="B408" s="9"/>
      <c r="C408" s="25"/>
      <c r="F408" s="26"/>
    </row>
    <row r="409" spans="2:6" ht="12.5" x14ac:dyDescent="0.25">
      <c r="B409" s="9"/>
      <c r="C409" s="25"/>
      <c r="F409" s="26"/>
    </row>
    <row r="410" spans="2:6" ht="12.5" x14ac:dyDescent="0.25">
      <c r="B410" s="9"/>
      <c r="C410" s="25"/>
      <c r="F410" s="26"/>
    </row>
    <row r="411" spans="2:6" ht="12.5" x14ac:dyDescent="0.25">
      <c r="B411" s="9"/>
      <c r="C411" s="25"/>
      <c r="F411" s="26"/>
    </row>
    <row r="412" spans="2:6" ht="12.5" x14ac:dyDescent="0.25">
      <c r="B412" s="9"/>
      <c r="C412" s="25"/>
      <c r="F412" s="26"/>
    </row>
    <row r="413" spans="2:6" ht="12.5" x14ac:dyDescent="0.25">
      <c r="B413" s="9"/>
      <c r="C413" s="25"/>
      <c r="F413" s="26"/>
    </row>
    <row r="414" spans="2:6" ht="12.5" x14ac:dyDescent="0.25">
      <c r="B414" s="9"/>
      <c r="C414" s="25"/>
      <c r="F414" s="26"/>
    </row>
    <row r="415" spans="2:6" ht="12.5" x14ac:dyDescent="0.25">
      <c r="B415" s="9"/>
      <c r="C415" s="25"/>
      <c r="F415" s="26"/>
    </row>
    <row r="416" spans="2:6" ht="12.5" x14ac:dyDescent="0.25">
      <c r="B416" s="9"/>
      <c r="C416" s="25"/>
      <c r="F416" s="26"/>
    </row>
    <row r="417" spans="2:6" ht="12.5" x14ac:dyDescent="0.25">
      <c r="B417" s="9"/>
      <c r="C417" s="25"/>
      <c r="F417" s="26"/>
    </row>
    <row r="418" spans="2:6" ht="12.5" x14ac:dyDescent="0.25">
      <c r="B418" s="9"/>
      <c r="C418" s="25"/>
      <c r="F418" s="26"/>
    </row>
    <row r="419" spans="2:6" ht="12.5" x14ac:dyDescent="0.25">
      <c r="B419" s="9"/>
      <c r="C419" s="25"/>
      <c r="F419" s="26"/>
    </row>
    <row r="420" spans="2:6" ht="12.5" x14ac:dyDescent="0.25">
      <c r="B420" s="9"/>
      <c r="C420" s="25"/>
      <c r="F420" s="26"/>
    </row>
    <row r="421" spans="2:6" ht="12.5" x14ac:dyDescent="0.25">
      <c r="B421" s="9"/>
      <c r="C421" s="25"/>
      <c r="F421" s="26"/>
    </row>
    <row r="422" spans="2:6" ht="12.5" x14ac:dyDescent="0.25">
      <c r="B422" s="9"/>
      <c r="C422" s="25"/>
      <c r="F422" s="26"/>
    </row>
    <row r="423" spans="2:6" ht="12.5" x14ac:dyDescent="0.25">
      <c r="B423" s="9"/>
      <c r="C423" s="25"/>
      <c r="F423" s="26"/>
    </row>
    <row r="424" spans="2:6" ht="12.5" x14ac:dyDescent="0.25">
      <c r="B424" s="9"/>
      <c r="C424" s="25"/>
      <c r="F424" s="26"/>
    </row>
    <row r="425" spans="2:6" ht="12.5" x14ac:dyDescent="0.25">
      <c r="B425" s="9"/>
      <c r="C425" s="25"/>
      <c r="F425" s="26"/>
    </row>
    <row r="426" spans="2:6" ht="12.5" x14ac:dyDescent="0.25">
      <c r="B426" s="9"/>
      <c r="C426" s="25"/>
      <c r="F426" s="26"/>
    </row>
    <row r="427" spans="2:6" ht="12.5" x14ac:dyDescent="0.25">
      <c r="B427" s="9"/>
      <c r="C427" s="25"/>
      <c r="F427" s="26"/>
    </row>
    <row r="428" spans="2:6" ht="12.5" x14ac:dyDescent="0.25">
      <c r="B428" s="9"/>
      <c r="C428" s="25"/>
      <c r="F428" s="26"/>
    </row>
    <row r="429" spans="2:6" ht="12.5" x14ac:dyDescent="0.25">
      <c r="B429" s="9"/>
      <c r="C429" s="25"/>
      <c r="F429" s="26"/>
    </row>
    <row r="430" spans="2:6" ht="12.5" x14ac:dyDescent="0.25">
      <c r="B430" s="9"/>
      <c r="C430" s="25"/>
      <c r="F430" s="26"/>
    </row>
    <row r="431" spans="2:6" ht="12.5" x14ac:dyDescent="0.25">
      <c r="B431" s="9"/>
      <c r="C431" s="25"/>
      <c r="F431" s="26"/>
    </row>
    <row r="432" spans="2:6" ht="12.5" x14ac:dyDescent="0.25">
      <c r="B432" s="9"/>
      <c r="C432" s="25"/>
      <c r="F432" s="26"/>
    </row>
    <row r="433" spans="2:6" ht="12.5" x14ac:dyDescent="0.25">
      <c r="B433" s="9"/>
      <c r="C433" s="25"/>
      <c r="F433" s="26"/>
    </row>
    <row r="434" spans="2:6" ht="12.5" x14ac:dyDescent="0.25">
      <c r="B434" s="9"/>
      <c r="C434" s="25"/>
      <c r="F434" s="26"/>
    </row>
    <row r="435" spans="2:6" ht="12.5" x14ac:dyDescent="0.25">
      <c r="B435" s="9"/>
      <c r="C435" s="25"/>
      <c r="F435" s="26"/>
    </row>
    <row r="436" spans="2:6" ht="12.5" x14ac:dyDescent="0.25">
      <c r="B436" s="9"/>
      <c r="C436" s="25"/>
      <c r="F436" s="26"/>
    </row>
    <row r="437" spans="2:6" ht="12.5" x14ac:dyDescent="0.25">
      <c r="B437" s="9"/>
      <c r="C437" s="25"/>
      <c r="F437" s="26"/>
    </row>
    <row r="438" spans="2:6" ht="12.5" x14ac:dyDescent="0.25">
      <c r="B438" s="9"/>
      <c r="C438" s="25"/>
      <c r="F438" s="26"/>
    </row>
    <row r="439" spans="2:6" ht="12.5" x14ac:dyDescent="0.25">
      <c r="B439" s="9"/>
      <c r="C439" s="25"/>
      <c r="F439" s="26"/>
    </row>
    <row r="440" spans="2:6" ht="12.5" x14ac:dyDescent="0.25">
      <c r="B440" s="9"/>
      <c r="C440" s="25"/>
      <c r="F440" s="26"/>
    </row>
    <row r="441" spans="2:6" ht="12.5" x14ac:dyDescent="0.25">
      <c r="B441" s="9"/>
      <c r="C441" s="25"/>
      <c r="F441" s="26"/>
    </row>
    <row r="442" spans="2:6" ht="12.5" x14ac:dyDescent="0.25">
      <c r="B442" s="9"/>
      <c r="C442" s="25"/>
      <c r="F442" s="26"/>
    </row>
    <row r="443" spans="2:6" ht="12.5" x14ac:dyDescent="0.25">
      <c r="B443" s="9"/>
      <c r="C443" s="25"/>
      <c r="F443" s="26"/>
    </row>
    <row r="444" spans="2:6" ht="12.5" x14ac:dyDescent="0.25">
      <c r="B444" s="9"/>
      <c r="C444" s="25"/>
      <c r="F444" s="26"/>
    </row>
    <row r="445" spans="2:6" ht="12.5" x14ac:dyDescent="0.25">
      <c r="B445" s="9"/>
      <c r="C445" s="25"/>
      <c r="F445" s="26"/>
    </row>
    <row r="446" spans="2:6" ht="12.5" x14ac:dyDescent="0.25">
      <c r="B446" s="9"/>
      <c r="C446" s="25"/>
      <c r="F446" s="26"/>
    </row>
    <row r="447" spans="2:6" ht="12.5" x14ac:dyDescent="0.25">
      <c r="B447" s="9"/>
      <c r="C447" s="25"/>
      <c r="F447" s="26"/>
    </row>
    <row r="448" spans="2:6" ht="12.5" x14ac:dyDescent="0.25">
      <c r="B448" s="9"/>
      <c r="C448" s="25"/>
      <c r="F448" s="26"/>
    </row>
    <row r="449" spans="2:6" ht="12.5" x14ac:dyDescent="0.25">
      <c r="B449" s="9"/>
      <c r="C449" s="25"/>
      <c r="F449" s="26"/>
    </row>
    <row r="450" spans="2:6" ht="12.5" x14ac:dyDescent="0.25">
      <c r="B450" s="9"/>
      <c r="C450" s="25"/>
      <c r="F450" s="26"/>
    </row>
    <row r="451" spans="2:6" ht="12.5" x14ac:dyDescent="0.25">
      <c r="B451" s="9"/>
      <c r="C451" s="25"/>
      <c r="F451" s="26"/>
    </row>
    <row r="452" spans="2:6" ht="12.5" x14ac:dyDescent="0.25">
      <c r="B452" s="9"/>
      <c r="C452" s="25"/>
      <c r="F452" s="26"/>
    </row>
    <row r="453" spans="2:6" ht="12.5" x14ac:dyDescent="0.25">
      <c r="B453" s="9"/>
      <c r="C453" s="25"/>
      <c r="F453" s="26"/>
    </row>
    <row r="454" spans="2:6" ht="12.5" x14ac:dyDescent="0.25">
      <c r="B454" s="9"/>
      <c r="C454" s="25"/>
      <c r="F454" s="26"/>
    </row>
    <row r="455" spans="2:6" ht="12.5" x14ac:dyDescent="0.25">
      <c r="B455" s="9"/>
      <c r="C455" s="25"/>
      <c r="F455" s="26"/>
    </row>
    <row r="456" spans="2:6" ht="12.5" x14ac:dyDescent="0.25">
      <c r="B456" s="9"/>
      <c r="C456" s="25"/>
      <c r="F456" s="26"/>
    </row>
    <row r="457" spans="2:6" ht="12.5" x14ac:dyDescent="0.25">
      <c r="B457" s="9"/>
      <c r="C457" s="25"/>
      <c r="F457" s="26"/>
    </row>
    <row r="458" spans="2:6" ht="12.5" x14ac:dyDescent="0.25">
      <c r="B458" s="9"/>
      <c r="C458" s="25"/>
      <c r="F458" s="26"/>
    </row>
    <row r="459" spans="2:6" ht="12.5" x14ac:dyDescent="0.25">
      <c r="B459" s="9"/>
      <c r="C459" s="25"/>
      <c r="F459" s="26"/>
    </row>
    <row r="460" spans="2:6" ht="12.5" x14ac:dyDescent="0.25">
      <c r="B460" s="9"/>
      <c r="C460" s="25"/>
      <c r="F460" s="26"/>
    </row>
    <row r="461" spans="2:6" ht="12.5" x14ac:dyDescent="0.25">
      <c r="B461" s="9"/>
      <c r="C461" s="25"/>
      <c r="F461" s="26"/>
    </row>
    <row r="462" spans="2:6" ht="12.5" x14ac:dyDescent="0.25">
      <c r="B462" s="9"/>
      <c r="C462" s="25"/>
      <c r="F462" s="26"/>
    </row>
    <row r="463" spans="2:6" ht="12.5" x14ac:dyDescent="0.25">
      <c r="B463" s="9"/>
      <c r="C463" s="25"/>
      <c r="F463" s="26"/>
    </row>
    <row r="464" spans="2:6" ht="12.5" x14ac:dyDescent="0.25">
      <c r="B464" s="9"/>
      <c r="C464" s="25"/>
      <c r="F464" s="26"/>
    </row>
    <row r="465" spans="2:6" ht="12.5" x14ac:dyDescent="0.25">
      <c r="B465" s="9"/>
      <c r="C465" s="25"/>
      <c r="F465" s="26"/>
    </row>
    <row r="466" spans="2:6" ht="12.5" x14ac:dyDescent="0.25">
      <c r="B466" s="9"/>
      <c r="C466" s="25"/>
      <c r="F466" s="26"/>
    </row>
    <row r="467" spans="2:6" ht="12.5" x14ac:dyDescent="0.25">
      <c r="B467" s="9"/>
      <c r="C467" s="25"/>
      <c r="F467" s="26"/>
    </row>
    <row r="468" spans="2:6" ht="12.5" x14ac:dyDescent="0.25">
      <c r="B468" s="9"/>
      <c r="C468" s="25"/>
      <c r="F468" s="26"/>
    </row>
    <row r="469" spans="2:6" ht="12.5" x14ac:dyDescent="0.25">
      <c r="B469" s="9"/>
      <c r="C469" s="25"/>
      <c r="F469" s="26"/>
    </row>
    <row r="470" spans="2:6" ht="12.5" x14ac:dyDescent="0.25">
      <c r="B470" s="9"/>
      <c r="C470" s="25"/>
      <c r="F470" s="26"/>
    </row>
    <row r="471" spans="2:6" ht="12.5" x14ac:dyDescent="0.25">
      <c r="B471" s="9"/>
      <c r="C471" s="25"/>
      <c r="F471" s="26"/>
    </row>
    <row r="472" spans="2:6" ht="12.5" x14ac:dyDescent="0.25">
      <c r="B472" s="9"/>
      <c r="C472" s="25"/>
      <c r="F472" s="26"/>
    </row>
    <row r="473" spans="2:6" ht="12.5" x14ac:dyDescent="0.25">
      <c r="B473" s="9"/>
      <c r="C473" s="25"/>
      <c r="F473" s="26"/>
    </row>
    <row r="474" spans="2:6" ht="12.5" x14ac:dyDescent="0.25">
      <c r="B474" s="9"/>
      <c r="C474" s="25"/>
      <c r="F474" s="26"/>
    </row>
    <row r="475" spans="2:6" ht="12.5" x14ac:dyDescent="0.25">
      <c r="B475" s="9"/>
      <c r="C475" s="25"/>
      <c r="F475" s="26"/>
    </row>
    <row r="476" spans="2:6" ht="12.5" x14ac:dyDescent="0.25">
      <c r="B476" s="9"/>
      <c r="C476" s="25"/>
      <c r="F476" s="26"/>
    </row>
    <row r="477" spans="2:6" ht="12.5" x14ac:dyDescent="0.25">
      <c r="B477" s="9"/>
      <c r="C477" s="25"/>
      <c r="F477" s="26"/>
    </row>
    <row r="478" spans="2:6" ht="12.5" x14ac:dyDescent="0.25">
      <c r="B478" s="9"/>
      <c r="C478" s="25"/>
      <c r="F478" s="26"/>
    </row>
    <row r="479" spans="2:6" ht="12.5" x14ac:dyDescent="0.25">
      <c r="B479" s="9"/>
      <c r="C479" s="25"/>
      <c r="F479" s="26"/>
    </row>
    <row r="480" spans="2:6" ht="12.5" x14ac:dyDescent="0.25">
      <c r="B480" s="9"/>
      <c r="C480" s="25"/>
      <c r="F480" s="26"/>
    </row>
    <row r="481" spans="2:6" ht="12.5" x14ac:dyDescent="0.25">
      <c r="B481" s="9"/>
      <c r="C481" s="25"/>
      <c r="F481" s="26"/>
    </row>
    <row r="482" spans="2:6" ht="12.5" x14ac:dyDescent="0.25">
      <c r="B482" s="9"/>
      <c r="C482" s="25"/>
      <c r="F482" s="26"/>
    </row>
    <row r="483" spans="2:6" ht="12.5" x14ac:dyDescent="0.25">
      <c r="B483" s="9"/>
      <c r="C483" s="25"/>
      <c r="F483" s="26"/>
    </row>
    <row r="484" spans="2:6" ht="12.5" x14ac:dyDescent="0.25">
      <c r="B484" s="9"/>
      <c r="C484" s="25"/>
      <c r="F484" s="26"/>
    </row>
    <row r="485" spans="2:6" ht="12.5" x14ac:dyDescent="0.25">
      <c r="B485" s="9"/>
      <c r="C485" s="25"/>
      <c r="F485" s="26"/>
    </row>
    <row r="486" spans="2:6" ht="12.5" x14ac:dyDescent="0.25">
      <c r="B486" s="9"/>
      <c r="C486" s="25"/>
      <c r="F486" s="26"/>
    </row>
    <row r="487" spans="2:6" ht="12.5" x14ac:dyDescent="0.25">
      <c r="B487" s="9"/>
      <c r="C487" s="25"/>
      <c r="F487" s="26"/>
    </row>
    <row r="488" spans="2:6" ht="12.5" x14ac:dyDescent="0.25">
      <c r="B488" s="9"/>
      <c r="C488" s="25"/>
      <c r="F488" s="26"/>
    </row>
    <row r="489" spans="2:6" ht="12.5" x14ac:dyDescent="0.25">
      <c r="B489" s="9"/>
      <c r="C489" s="25"/>
      <c r="F489" s="26"/>
    </row>
    <row r="490" spans="2:6" ht="12.5" x14ac:dyDescent="0.25">
      <c r="B490" s="9"/>
      <c r="C490" s="25"/>
      <c r="F490" s="26"/>
    </row>
    <row r="491" spans="2:6" ht="12.5" x14ac:dyDescent="0.25">
      <c r="B491" s="9"/>
      <c r="C491" s="25"/>
      <c r="F491" s="26"/>
    </row>
    <row r="492" spans="2:6" ht="12.5" x14ac:dyDescent="0.25">
      <c r="B492" s="9"/>
      <c r="C492" s="25"/>
      <c r="F492" s="26"/>
    </row>
    <row r="493" spans="2:6" ht="12.5" x14ac:dyDescent="0.25">
      <c r="B493" s="9"/>
      <c r="C493" s="25"/>
      <c r="F493" s="26"/>
    </row>
    <row r="494" spans="2:6" ht="12.5" x14ac:dyDescent="0.25">
      <c r="B494" s="9"/>
      <c r="C494" s="25"/>
      <c r="F494" s="26"/>
    </row>
    <row r="495" spans="2:6" ht="12.5" x14ac:dyDescent="0.25">
      <c r="B495" s="9"/>
      <c r="C495" s="25"/>
      <c r="F495" s="26"/>
    </row>
    <row r="496" spans="2:6" ht="12.5" x14ac:dyDescent="0.25">
      <c r="B496" s="9"/>
      <c r="C496" s="25"/>
      <c r="F496" s="26"/>
    </row>
    <row r="497" spans="2:6" ht="12.5" x14ac:dyDescent="0.25">
      <c r="B497" s="9"/>
      <c r="C497" s="25"/>
      <c r="F497" s="26"/>
    </row>
    <row r="498" spans="2:6" ht="12.5" x14ac:dyDescent="0.25">
      <c r="B498" s="9"/>
      <c r="C498" s="25"/>
      <c r="F498" s="26"/>
    </row>
    <row r="499" spans="2:6" ht="12.5" x14ac:dyDescent="0.25">
      <c r="B499" s="9"/>
      <c r="C499" s="25"/>
      <c r="F499" s="26"/>
    </row>
    <row r="500" spans="2:6" ht="12.5" x14ac:dyDescent="0.25">
      <c r="B500" s="9"/>
      <c r="C500" s="25"/>
      <c r="F500" s="26"/>
    </row>
    <row r="501" spans="2:6" ht="12.5" x14ac:dyDescent="0.25">
      <c r="B501" s="9"/>
      <c r="C501" s="25"/>
      <c r="F501" s="26"/>
    </row>
    <row r="502" spans="2:6" ht="12.5" x14ac:dyDescent="0.25">
      <c r="B502" s="9"/>
      <c r="C502" s="25"/>
      <c r="F502" s="26"/>
    </row>
    <row r="503" spans="2:6" ht="12.5" x14ac:dyDescent="0.25">
      <c r="B503" s="9"/>
      <c r="C503" s="25"/>
      <c r="F503" s="26"/>
    </row>
    <row r="504" spans="2:6" ht="12.5" x14ac:dyDescent="0.25">
      <c r="B504" s="9"/>
      <c r="C504" s="25"/>
      <c r="F504" s="26"/>
    </row>
    <row r="505" spans="2:6" ht="12.5" x14ac:dyDescent="0.25">
      <c r="B505" s="9"/>
      <c r="C505" s="25"/>
      <c r="F505" s="26"/>
    </row>
    <row r="506" spans="2:6" ht="12.5" x14ac:dyDescent="0.25">
      <c r="B506" s="9"/>
      <c r="C506" s="25"/>
      <c r="F506" s="26"/>
    </row>
    <row r="507" spans="2:6" ht="12.5" x14ac:dyDescent="0.25">
      <c r="B507" s="9"/>
      <c r="C507" s="25"/>
      <c r="F507" s="26"/>
    </row>
    <row r="508" spans="2:6" ht="12.5" x14ac:dyDescent="0.25">
      <c r="B508" s="9"/>
      <c r="C508" s="25"/>
      <c r="F508" s="26"/>
    </row>
    <row r="509" spans="2:6" ht="12.5" x14ac:dyDescent="0.25">
      <c r="B509" s="9"/>
      <c r="C509" s="25"/>
      <c r="F509" s="26"/>
    </row>
    <row r="510" spans="2:6" ht="12.5" x14ac:dyDescent="0.25">
      <c r="B510" s="9"/>
      <c r="C510" s="25"/>
      <c r="F510" s="26"/>
    </row>
    <row r="511" spans="2:6" ht="12.5" x14ac:dyDescent="0.25">
      <c r="B511" s="9"/>
      <c r="C511" s="25"/>
      <c r="F511" s="26"/>
    </row>
    <row r="512" spans="2:6" ht="12.5" x14ac:dyDescent="0.25">
      <c r="B512" s="9"/>
      <c r="C512" s="25"/>
      <c r="F512" s="26"/>
    </row>
    <row r="513" spans="2:6" ht="12.5" x14ac:dyDescent="0.25">
      <c r="B513" s="9"/>
      <c r="C513" s="25"/>
      <c r="F513" s="26"/>
    </row>
    <row r="514" spans="2:6" ht="12.5" x14ac:dyDescent="0.25">
      <c r="B514" s="9"/>
      <c r="C514" s="25"/>
      <c r="F514" s="26"/>
    </row>
    <row r="515" spans="2:6" ht="12.5" x14ac:dyDescent="0.25">
      <c r="B515" s="9"/>
      <c r="C515" s="25"/>
      <c r="F515" s="26"/>
    </row>
    <row r="516" spans="2:6" ht="12.5" x14ac:dyDescent="0.25">
      <c r="B516" s="9"/>
      <c r="C516" s="25"/>
      <c r="F516" s="26"/>
    </row>
    <row r="517" spans="2:6" ht="12.5" x14ac:dyDescent="0.25">
      <c r="B517" s="9"/>
      <c r="C517" s="25"/>
      <c r="F517" s="26"/>
    </row>
    <row r="518" spans="2:6" ht="12.5" x14ac:dyDescent="0.25">
      <c r="B518" s="9"/>
      <c r="C518" s="25"/>
      <c r="F518" s="26"/>
    </row>
    <row r="519" spans="2:6" ht="12.5" x14ac:dyDescent="0.25">
      <c r="B519" s="9"/>
      <c r="C519" s="25"/>
      <c r="F519" s="26"/>
    </row>
    <row r="520" spans="2:6" ht="12.5" x14ac:dyDescent="0.25">
      <c r="B520" s="9"/>
      <c r="C520" s="25"/>
      <c r="F520" s="26"/>
    </row>
    <row r="521" spans="2:6" ht="12.5" x14ac:dyDescent="0.25">
      <c r="B521" s="9"/>
      <c r="C521" s="25"/>
      <c r="F521" s="26"/>
    </row>
    <row r="522" spans="2:6" ht="12.5" x14ac:dyDescent="0.25">
      <c r="B522" s="9"/>
      <c r="C522" s="25"/>
      <c r="F522" s="26"/>
    </row>
    <row r="523" spans="2:6" ht="12.5" x14ac:dyDescent="0.25">
      <c r="B523" s="9"/>
      <c r="C523" s="25"/>
      <c r="F523" s="26"/>
    </row>
    <row r="524" spans="2:6" ht="12.5" x14ac:dyDescent="0.25">
      <c r="B524" s="9"/>
      <c r="C524" s="25"/>
      <c r="F524" s="26"/>
    </row>
    <row r="525" spans="2:6" ht="12.5" x14ac:dyDescent="0.25">
      <c r="B525" s="9"/>
      <c r="C525" s="25"/>
      <c r="F525" s="26"/>
    </row>
    <row r="526" spans="2:6" ht="12.5" x14ac:dyDescent="0.25">
      <c r="B526" s="9"/>
      <c r="C526" s="25"/>
      <c r="F526" s="26"/>
    </row>
    <row r="527" spans="2:6" ht="12.5" x14ac:dyDescent="0.25">
      <c r="B527" s="9"/>
      <c r="C527" s="25"/>
      <c r="F527" s="26"/>
    </row>
    <row r="528" spans="2:6" ht="12.5" x14ac:dyDescent="0.25">
      <c r="B528" s="9"/>
      <c r="C528" s="25"/>
      <c r="F528" s="26"/>
    </row>
    <row r="529" spans="2:6" ht="12.5" x14ac:dyDescent="0.25">
      <c r="B529" s="9"/>
      <c r="C529" s="25"/>
      <c r="F529" s="26"/>
    </row>
    <row r="530" spans="2:6" ht="12.5" x14ac:dyDescent="0.25">
      <c r="B530" s="9"/>
      <c r="C530" s="25"/>
      <c r="F530" s="26"/>
    </row>
    <row r="531" spans="2:6" ht="12.5" x14ac:dyDescent="0.25">
      <c r="B531" s="9"/>
      <c r="C531" s="25"/>
      <c r="F531" s="26"/>
    </row>
    <row r="532" spans="2:6" ht="12.5" x14ac:dyDescent="0.25">
      <c r="B532" s="9"/>
      <c r="C532" s="25"/>
      <c r="F532" s="26"/>
    </row>
    <row r="533" spans="2:6" ht="12.5" x14ac:dyDescent="0.25">
      <c r="B533" s="9"/>
      <c r="C533" s="25"/>
      <c r="F533" s="26"/>
    </row>
    <row r="534" spans="2:6" ht="12.5" x14ac:dyDescent="0.25">
      <c r="B534" s="9"/>
      <c r="C534" s="25"/>
      <c r="F534" s="26"/>
    </row>
    <row r="535" spans="2:6" ht="12.5" x14ac:dyDescent="0.25">
      <c r="B535" s="9"/>
      <c r="C535" s="25"/>
      <c r="F535" s="26"/>
    </row>
    <row r="536" spans="2:6" ht="12.5" x14ac:dyDescent="0.25">
      <c r="B536" s="9"/>
      <c r="C536" s="25"/>
      <c r="F536" s="26"/>
    </row>
    <row r="537" spans="2:6" ht="12.5" x14ac:dyDescent="0.25">
      <c r="B537" s="9"/>
      <c r="C537" s="25"/>
      <c r="F537" s="26"/>
    </row>
    <row r="538" spans="2:6" ht="12.5" x14ac:dyDescent="0.25">
      <c r="B538" s="9"/>
      <c r="C538" s="25"/>
      <c r="F538" s="26"/>
    </row>
    <row r="539" spans="2:6" ht="12.5" x14ac:dyDescent="0.25">
      <c r="B539" s="9"/>
      <c r="C539" s="25"/>
      <c r="F539" s="26"/>
    </row>
    <row r="540" spans="2:6" ht="12.5" x14ac:dyDescent="0.25">
      <c r="B540" s="9"/>
      <c r="C540" s="25"/>
      <c r="F540" s="26"/>
    </row>
    <row r="541" spans="2:6" ht="12.5" x14ac:dyDescent="0.25">
      <c r="B541" s="9"/>
      <c r="C541" s="25"/>
      <c r="F541" s="26"/>
    </row>
    <row r="542" spans="2:6" ht="12.5" x14ac:dyDescent="0.25">
      <c r="B542" s="9"/>
      <c r="C542" s="25"/>
      <c r="F542" s="26"/>
    </row>
    <row r="543" spans="2:6" ht="12.5" x14ac:dyDescent="0.25">
      <c r="B543" s="9"/>
      <c r="C543" s="25"/>
      <c r="F543" s="26"/>
    </row>
    <row r="544" spans="2:6" ht="12.5" x14ac:dyDescent="0.25">
      <c r="B544" s="9"/>
      <c r="C544" s="25"/>
      <c r="F544" s="26"/>
    </row>
    <row r="545" spans="2:6" ht="12.5" x14ac:dyDescent="0.25">
      <c r="B545" s="9"/>
      <c r="C545" s="25"/>
      <c r="F545" s="26"/>
    </row>
    <row r="546" spans="2:6" ht="12.5" x14ac:dyDescent="0.25">
      <c r="B546" s="9"/>
      <c r="C546" s="25"/>
      <c r="F546" s="26"/>
    </row>
    <row r="547" spans="2:6" ht="12.5" x14ac:dyDescent="0.25">
      <c r="B547" s="9"/>
      <c r="C547" s="25"/>
      <c r="F547" s="26"/>
    </row>
    <row r="548" spans="2:6" ht="12.5" x14ac:dyDescent="0.25">
      <c r="B548" s="9"/>
      <c r="C548" s="25"/>
      <c r="F548" s="26"/>
    </row>
    <row r="549" spans="2:6" ht="12.5" x14ac:dyDescent="0.25">
      <c r="B549" s="9"/>
      <c r="C549" s="25"/>
      <c r="F549" s="26"/>
    </row>
    <row r="550" spans="2:6" ht="12.5" x14ac:dyDescent="0.25">
      <c r="B550" s="9"/>
      <c r="C550" s="25"/>
      <c r="F550" s="26"/>
    </row>
    <row r="551" spans="2:6" ht="12.5" x14ac:dyDescent="0.25">
      <c r="B551" s="9"/>
      <c r="C551" s="25"/>
      <c r="F551" s="26"/>
    </row>
    <row r="552" spans="2:6" ht="12.5" x14ac:dyDescent="0.25">
      <c r="B552" s="9"/>
      <c r="C552" s="25"/>
      <c r="F552" s="26"/>
    </row>
    <row r="553" spans="2:6" ht="12.5" x14ac:dyDescent="0.25">
      <c r="B553" s="9"/>
      <c r="C553" s="25"/>
      <c r="F553" s="26"/>
    </row>
    <row r="554" spans="2:6" ht="12.5" x14ac:dyDescent="0.25">
      <c r="B554" s="9"/>
      <c r="C554" s="25"/>
      <c r="F554" s="26"/>
    </row>
    <row r="555" spans="2:6" ht="12.5" x14ac:dyDescent="0.25">
      <c r="B555" s="9"/>
      <c r="C555" s="25"/>
      <c r="F555" s="26"/>
    </row>
    <row r="556" spans="2:6" ht="12.5" x14ac:dyDescent="0.25">
      <c r="B556" s="9"/>
      <c r="C556" s="25"/>
      <c r="F556" s="26"/>
    </row>
    <row r="557" spans="2:6" ht="12.5" x14ac:dyDescent="0.25">
      <c r="B557" s="9"/>
      <c r="C557" s="25"/>
      <c r="F557" s="26"/>
    </row>
    <row r="558" spans="2:6" ht="12.5" x14ac:dyDescent="0.25">
      <c r="B558" s="9"/>
      <c r="C558" s="25"/>
      <c r="F558" s="26"/>
    </row>
    <row r="559" spans="2:6" ht="12.5" x14ac:dyDescent="0.25">
      <c r="B559" s="9"/>
      <c r="C559" s="25"/>
      <c r="F559" s="26"/>
    </row>
    <row r="560" spans="2:6" ht="12.5" x14ac:dyDescent="0.25">
      <c r="B560" s="9"/>
      <c r="C560" s="25"/>
      <c r="F560" s="26"/>
    </row>
    <row r="561" spans="2:6" ht="12.5" x14ac:dyDescent="0.25">
      <c r="B561" s="9"/>
      <c r="C561" s="25"/>
      <c r="F561" s="26"/>
    </row>
    <row r="562" spans="2:6" ht="12.5" x14ac:dyDescent="0.25">
      <c r="B562" s="9"/>
      <c r="C562" s="25"/>
      <c r="F562" s="26"/>
    </row>
    <row r="563" spans="2:6" ht="12.5" x14ac:dyDescent="0.25">
      <c r="B563" s="9"/>
      <c r="C563" s="25"/>
      <c r="F563" s="26"/>
    </row>
    <row r="564" spans="2:6" ht="12.5" x14ac:dyDescent="0.25">
      <c r="B564" s="9"/>
      <c r="C564" s="25"/>
      <c r="F564" s="26"/>
    </row>
    <row r="565" spans="2:6" ht="12.5" x14ac:dyDescent="0.25">
      <c r="B565" s="9"/>
      <c r="C565" s="25"/>
      <c r="F565" s="26"/>
    </row>
    <row r="566" spans="2:6" ht="12.5" x14ac:dyDescent="0.25">
      <c r="B566" s="9"/>
      <c r="C566" s="25"/>
      <c r="F566" s="26"/>
    </row>
    <row r="567" spans="2:6" ht="12.5" x14ac:dyDescent="0.25">
      <c r="B567" s="9"/>
      <c r="C567" s="25"/>
      <c r="F567" s="26"/>
    </row>
    <row r="568" spans="2:6" ht="12.5" x14ac:dyDescent="0.25">
      <c r="B568" s="9"/>
      <c r="C568" s="25"/>
      <c r="F568" s="26"/>
    </row>
    <row r="569" spans="2:6" ht="12.5" x14ac:dyDescent="0.25">
      <c r="B569" s="9"/>
      <c r="C569" s="25"/>
      <c r="F569" s="26"/>
    </row>
    <row r="570" spans="2:6" ht="12.5" x14ac:dyDescent="0.25">
      <c r="B570" s="9"/>
      <c r="C570" s="25"/>
      <c r="F570" s="26"/>
    </row>
    <row r="571" spans="2:6" ht="12.5" x14ac:dyDescent="0.25">
      <c r="B571" s="9"/>
      <c r="C571" s="25"/>
      <c r="F571" s="26"/>
    </row>
    <row r="572" spans="2:6" ht="12.5" x14ac:dyDescent="0.25">
      <c r="B572" s="9"/>
      <c r="C572" s="25"/>
      <c r="F572" s="26"/>
    </row>
    <row r="573" spans="2:6" ht="12.5" x14ac:dyDescent="0.25">
      <c r="B573" s="9"/>
      <c r="C573" s="25"/>
      <c r="F573" s="26"/>
    </row>
    <row r="574" spans="2:6" ht="12.5" x14ac:dyDescent="0.25">
      <c r="B574" s="9"/>
      <c r="C574" s="25"/>
      <c r="F574" s="26"/>
    </row>
    <row r="575" spans="2:6" ht="12.5" x14ac:dyDescent="0.25">
      <c r="B575" s="9"/>
      <c r="C575" s="25"/>
      <c r="F575" s="26"/>
    </row>
    <row r="576" spans="2:6" ht="12.5" x14ac:dyDescent="0.25">
      <c r="B576" s="9"/>
      <c r="C576" s="25"/>
      <c r="F576" s="26"/>
    </row>
    <row r="577" spans="2:6" ht="12.5" x14ac:dyDescent="0.25">
      <c r="B577" s="9"/>
      <c r="C577" s="25"/>
      <c r="F577" s="26"/>
    </row>
    <row r="578" spans="2:6" ht="12.5" x14ac:dyDescent="0.25">
      <c r="B578" s="9"/>
      <c r="C578" s="25"/>
      <c r="F578" s="26"/>
    </row>
    <row r="579" spans="2:6" ht="12.5" x14ac:dyDescent="0.25">
      <c r="B579" s="9"/>
      <c r="C579" s="25"/>
      <c r="F579" s="26"/>
    </row>
    <row r="580" spans="2:6" ht="12.5" x14ac:dyDescent="0.25">
      <c r="B580" s="9"/>
      <c r="C580" s="25"/>
      <c r="F580" s="26"/>
    </row>
    <row r="581" spans="2:6" ht="12.5" x14ac:dyDescent="0.25">
      <c r="B581" s="9"/>
      <c r="C581" s="25"/>
      <c r="F581" s="26"/>
    </row>
    <row r="582" spans="2:6" ht="12.5" x14ac:dyDescent="0.25">
      <c r="B582" s="9"/>
      <c r="C582" s="25"/>
      <c r="F582" s="26"/>
    </row>
    <row r="583" spans="2:6" ht="12.5" x14ac:dyDescent="0.25">
      <c r="B583" s="9"/>
      <c r="C583" s="25"/>
      <c r="F583" s="26"/>
    </row>
    <row r="584" spans="2:6" ht="12.5" x14ac:dyDescent="0.25">
      <c r="B584" s="9"/>
      <c r="C584" s="25"/>
      <c r="F584" s="26"/>
    </row>
    <row r="585" spans="2:6" ht="12.5" x14ac:dyDescent="0.25">
      <c r="B585" s="9"/>
      <c r="C585" s="25"/>
      <c r="F585" s="26"/>
    </row>
    <row r="586" spans="2:6" ht="12.5" x14ac:dyDescent="0.25">
      <c r="B586" s="9"/>
      <c r="C586" s="25"/>
      <c r="F586" s="26"/>
    </row>
    <row r="587" spans="2:6" ht="12.5" x14ac:dyDescent="0.25">
      <c r="B587" s="9"/>
      <c r="C587" s="25"/>
      <c r="F587" s="26"/>
    </row>
    <row r="588" spans="2:6" ht="12.5" x14ac:dyDescent="0.25">
      <c r="B588" s="9"/>
      <c r="C588" s="25"/>
      <c r="F588" s="26"/>
    </row>
    <row r="589" spans="2:6" ht="12.5" x14ac:dyDescent="0.25">
      <c r="B589" s="9"/>
      <c r="C589" s="25"/>
      <c r="F589" s="26"/>
    </row>
    <row r="590" spans="2:6" ht="12.5" x14ac:dyDescent="0.25">
      <c r="B590" s="9"/>
      <c r="C590" s="25"/>
      <c r="F590" s="26"/>
    </row>
    <row r="591" spans="2:6" ht="12.5" x14ac:dyDescent="0.25">
      <c r="B591" s="9"/>
      <c r="C591" s="25"/>
      <c r="F591" s="26"/>
    </row>
    <row r="592" spans="2:6" ht="12.5" x14ac:dyDescent="0.25">
      <c r="B592" s="9"/>
      <c r="C592" s="25"/>
      <c r="F592" s="26"/>
    </row>
    <row r="593" spans="2:6" ht="12.5" x14ac:dyDescent="0.25">
      <c r="B593" s="9"/>
      <c r="C593" s="25"/>
      <c r="F593" s="26"/>
    </row>
    <row r="594" spans="2:6" ht="12.5" x14ac:dyDescent="0.25">
      <c r="B594" s="9"/>
      <c r="C594" s="25"/>
      <c r="F594" s="26"/>
    </row>
    <row r="595" spans="2:6" ht="12.5" x14ac:dyDescent="0.25">
      <c r="B595" s="9"/>
      <c r="C595" s="25"/>
      <c r="F595" s="26"/>
    </row>
    <row r="596" spans="2:6" ht="12.5" x14ac:dyDescent="0.25">
      <c r="B596" s="9"/>
      <c r="C596" s="25"/>
      <c r="F596" s="26"/>
    </row>
    <row r="597" spans="2:6" ht="12.5" x14ac:dyDescent="0.25">
      <c r="B597" s="9"/>
      <c r="C597" s="25"/>
      <c r="F597" s="26"/>
    </row>
    <row r="598" spans="2:6" ht="12.5" x14ac:dyDescent="0.25">
      <c r="B598" s="9"/>
      <c r="C598" s="25"/>
      <c r="F598" s="26"/>
    </row>
    <row r="599" spans="2:6" ht="12.5" x14ac:dyDescent="0.25">
      <c r="B599" s="9"/>
      <c r="C599" s="25"/>
      <c r="F599" s="26"/>
    </row>
    <row r="600" spans="2:6" ht="12.5" x14ac:dyDescent="0.25">
      <c r="B600" s="9"/>
      <c r="C600" s="25"/>
      <c r="F600" s="26"/>
    </row>
    <row r="601" spans="2:6" ht="12.5" x14ac:dyDescent="0.25">
      <c r="B601" s="9"/>
      <c r="C601" s="25"/>
      <c r="F601" s="26"/>
    </row>
    <row r="602" spans="2:6" ht="12.5" x14ac:dyDescent="0.25">
      <c r="B602" s="9"/>
      <c r="C602" s="25"/>
      <c r="F602" s="26"/>
    </row>
    <row r="603" spans="2:6" ht="12.5" x14ac:dyDescent="0.25">
      <c r="B603" s="9"/>
      <c r="C603" s="25"/>
      <c r="F603" s="26"/>
    </row>
    <row r="604" spans="2:6" ht="12.5" x14ac:dyDescent="0.25">
      <c r="B604" s="9"/>
      <c r="C604" s="25"/>
      <c r="F604" s="26"/>
    </row>
    <row r="605" spans="2:6" ht="12.5" x14ac:dyDescent="0.25">
      <c r="B605" s="9"/>
      <c r="C605" s="25"/>
      <c r="F605" s="26"/>
    </row>
    <row r="606" spans="2:6" ht="12.5" x14ac:dyDescent="0.25">
      <c r="B606" s="9"/>
      <c r="C606" s="25"/>
      <c r="F606" s="26"/>
    </row>
    <row r="607" spans="2:6" ht="12.5" x14ac:dyDescent="0.25">
      <c r="B607" s="9"/>
      <c r="C607" s="25"/>
      <c r="F607" s="26"/>
    </row>
    <row r="608" spans="2:6" ht="12.5" x14ac:dyDescent="0.25">
      <c r="B608" s="9"/>
      <c r="C608" s="25"/>
      <c r="F608" s="26"/>
    </row>
    <row r="609" spans="2:6" ht="12.5" x14ac:dyDescent="0.25">
      <c r="B609" s="9"/>
      <c r="C609" s="25"/>
      <c r="F609" s="26"/>
    </row>
    <row r="610" spans="2:6" ht="12.5" x14ac:dyDescent="0.25">
      <c r="B610" s="9"/>
      <c r="C610" s="25"/>
      <c r="F610" s="26"/>
    </row>
    <row r="611" spans="2:6" ht="12.5" x14ac:dyDescent="0.25">
      <c r="B611" s="9"/>
      <c r="C611" s="25"/>
      <c r="F611" s="26"/>
    </row>
    <row r="612" spans="2:6" ht="12.5" x14ac:dyDescent="0.25">
      <c r="B612" s="9"/>
      <c r="C612" s="25"/>
      <c r="F612" s="26"/>
    </row>
    <row r="613" spans="2:6" ht="12.5" x14ac:dyDescent="0.25">
      <c r="B613" s="9"/>
      <c r="C613" s="25"/>
      <c r="F613" s="26"/>
    </row>
    <row r="614" spans="2:6" ht="12.5" x14ac:dyDescent="0.25">
      <c r="B614" s="9"/>
      <c r="C614" s="25"/>
      <c r="F614" s="26"/>
    </row>
    <row r="615" spans="2:6" ht="12.5" x14ac:dyDescent="0.25">
      <c r="B615" s="9"/>
      <c r="C615" s="25"/>
      <c r="F615" s="26"/>
    </row>
    <row r="616" spans="2:6" ht="12.5" x14ac:dyDescent="0.25">
      <c r="B616" s="9"/>
      <c r="C616" s="25"/>
      <c r="F616" s="26"/>
    </row>
    <row r="617" spans="2:6" ht="12.5" x14ac:dyDescent="0.25">
      <c r="B617" s="9"/>
      <c r="C617" s="25"/>
      <c r="F617" s="26"/>
    </row>
    <row r="618" spans="2:6" ht="12.5" x14ac:dyDescent="0.25">
      <c r="B618" s="9"/>
      <c r="C618" s="25"/>
      <c r="F618" s="26"/>
    </row>
    <row r="619" spans="2:6" ht="12.5" x14ac:dyDescent="0.25">
      <c r="B619" s="9"/>
      <c r="C619" s="25"/>
      <c r="F619" s="26"/>
    </row>
    <row r="620" spans="2:6" ht="12.5" x14ac:dyDescent="0.25">
      <c r="B620" s="9"/>
      <c r="C620" s="25"/>
      <c r="F620" s="26"/>
    </row>
    <row r="621" spans="2:6" ht="12.5" x14ac:dyDescent="0.25">
      <c r="B621" s="9"/>
      <c r="C621" s="25"/>
      <c r="F621" s="26"/>
    </row>
    <row r="622" spans="2:6" ht="12.5" x14ac:dyDescent="0.25">
      <c r="B622" s="9"/>
      <c r="C622" s="25"/>
      <c r="F622" s="26"/>
    </row>
    <row r="623" spans="2:6" ht="12.5" x14ac:dyDescent="0.25">
      <c r="B623" s="9"/>
      <c r="C623" s="25"/>
      <c r="F623" s="26"/>
    </row>
    <row r="624" spans="2:6" ht="12.5" x14ac:dyDescent="0.25">
      <c r="B624" s="9"/>
      <c r="C624" s="25"/>
      <c r="F624" s="26"/>
    </row>
    <row r="625" spans="2:6" ht="12.5" x14ac:dyDescent="0.25">
      <c r="B625" s="9"/>
      <c r="C625" s="25"/>
      <c r="F625" s="26"/>
    </row>
    <row r="626" spans="2:6" ht="12.5" x14ac:dyDescent="0.25">
      <c r="B626" s="9"/>
      <c r="C626" s="25"/>
      <c r="F626" s="26"/>
    </row>
    <row r="627" spans="2:6" ht="12.5" x14ac:dyDescent="0.25">
      <c r="B627" s="9"/>
      <c r="C627" s="25"/>
      <c r="F627" s="26"/>
    </row>
    <row r="628" spans="2:6" ht="12.5" x14ac:dyDescent="0.25">
      <c r="B628" s="9"/>
      <c r="C628" s="25"/>
      <c r="F628" s="26"/>
    </row>
    <row r="629" spans="2:6" ht="12.5" x14ac:dyDescent="0.25">
      <c r="B629" s="9"/>
      <c r="C629" s="25"/>
      <c r="F629" s="26"/>
    </row>
    <row r="630" spans="2:6" ht="12.5" x14ac:dyDescent="0.25">
      <c r="B630" s="9"/>
      <c r="C630" s="25"/>
      <c r="F630" s="26"/>
    </row>
    <row r="631" spans="2:6" ht="12.5" x14ac:dyDescent="0.25">
      <c r="B631" s="9"/>
      <c r="C631" s="25"/>
      <c r="F631" s="26"/>
    </row>
    <row r="632" spans="2:6" ht="12.5" x14ac:dyDescent="0.25">
      <c r="B632" s="9"/>
      <c r="C632" s="25"/>
      <c r="F632" s="26"/>
    </row>
    <row r="633" spans="2:6" ht="12.5" x14ac:dyDescent="0.25">
      <c r="B633" s="9"/>
      <c r="C633" s="25"/>
      <c r="F633" s="26"/>
    </row>
    <row r="634" spans="2:6" ht="12.5" x14ac:dyDescent="0.25">
      <c r="B634" s="9"/>
      <c r="C634" s="25"/>
      <c r="F634" s="26"/>
    </row>
    <row r="635" spans="2:6" ht="12.5" x14ac:dyDescent="0.25">
      <c r="B635" s="9"/>
      <c r="C635" s="25"/>
      <c r="F635" s="26"/>
    </row>
    <row r="636" spans="2:6" ht="12.5" x14ac:dyDescent="0.25">
      <c r="B636" s="9"/>
      <c r="C636" s="25"/>
      <c r="F636" s="26"/>
    </row>
    <row r="637" spans="2:6" ht="12.5" x14ac:dyDescent="0.25">
      <c r="B637" s="9"/>
      <c r="C637" s="25"/>
      <c r="F637" s="26"/>
    </row>
    <row r="638" spans="2:6" ht="12.5" x14ac:dyDescent="0.25">
      <c r="B638" s="9"/>
      <c r="C638" s="25"/>
      <c r="F638" s="26"/>
    </row>
    <row r="639" spans="2:6" ht="12.5" x14ac:dyDescent="0.25">
      <c r="B639" s="9"/>
      <c r="C639" s="25"/>
      <c r="F639" s="26"/>
    </row>
    <row r="640" spans="2:6" ht="12.5" x14ac:dyDescent="0.25">
      <c r="B640" s="9"/>
      <c r="C640" s="25"/>
      <c r="F640" s="26"/>
    </row>
    <row r="641" spans="2:6" ht="12.5" x14ac:dyDescent="0.25">
      <c r="B641" s="9"/>
      <c r="C641" s="25"/>
      <c r="F641" s="26"/>
    </row>
    <row r="642" spans="2:6" ht="12.5" x14ac:dyDescent="0.25">
      <c r="B642" s="9"/>
      <c r="C642" s="25"/>
      <c r="F642" s="26"/>
    </row>
    <row r="643" spans="2:6" ht="12.5" x14ac:dyDescent="0.25">
      <c r="B643" s="9"/>
      <c r="C643" s="25"/>
      <c r="F643" s="26"/>
    </row>
    <row r="644" spans="2:6" ht="12.5" x14ac:dyDescent="0.25">
      <c r="B644" s="9"/>
      <c r="C644" s="25"/>
      <c r="F644" s="26"/>
    </row>
    <row r="645" spans="2:6" ht="12.5" x14ac:dyDescent="0.25">
      <c r="B645" s="9"/>
      <c r="C645" s="25"/>
      <c r="F645" s="26"/>
    </row>
    <row r="646" spans="2:6" ht="12.5" x14ac:dyDescent="0.25">
      <c r="B646" s="9"/>
      <c r="C646" s="25"/>
      <c r="F646" s="26"/>
    </row>
    <row r="647" spans="2:6" ht="12.5" x14ac:dyDescent="0.25">
      <c r="B647" s="9"/>
      <c r="C647" s="25"/>
      <c r="F647" s="26"/>
    </row>
    <row r="648" spans="2:6" ht="12.5" x14ac:dyDescent="0.25">
      <c r="B648" s="9"/>
      <c r="C648" s="25"/>
      <c r="F648" s="26"/>
    </row>
    <row r="649" spans="2:6" ht="12.5" x14ac:dyDescent="0.25">
      <c r="B649" s="9"/>
      <c r="C649" s="25"/>
      <c r="F649" s="26"/>
    </row>
    <row r="650" spans="2:6" ht="12.5" x14ac:dyDescent="0.25">
      <c r="B650" s="9"/>
      <c r="C650" s="25"/>
      <c r="F650" s="26"/>
    </row>
    <row r="651" spans="2:6" ht="12.5" x14ac:dyDescent="0.25">
      <c r="B651" s="9"/>
      <c r="C651" s="25"/>
      <c r="F651" s="26"/>
    </row>
    <row r="652" spans="2:6" ht="12.5" x14ac:dyDescent="0.25">
      <c r="B652" s="9"/>
      <c r="C652" s="25"/>
      <c r="F652" s="26"/>
    </row>
    <row r="653" spans="2:6" ht="12.5" x14ac:dyDescent="0.25">
      <c r="B653" s="9"/>
      <c r="C653" s="25"/>
      <c r="F653" s="26"/>
    </row>
    <row r="654" spans="2:6" ht="12.5" x14ac:dyDescent="0.25">
      <c r="B654" s="9"/>
      <c r="C654" s="25"/>
      <c r="F654" s="26"/>
    </row>
    <row r="655" spans="2:6" ht="12.5" x14ac:dyDescent="0.25">
      <c r="B655" s="9"/>
      <c r="C655" s="25"/>
      <c r="F655" s="26"/>
    </row>
    <row r="656" spans="2:6" ht="12.5" x14ac:dyDescent="0.25">
      <c r="B656" s="9"/>
      <c r="C656" s="25"/>
      <c r="F656" s="26"/>
    </row>
    <row r="657" spans="2:6" ht="12.5" x14ac:dyDescent="0.25">
      <c r="B657" s="9"/>
      <c r="C657" s="25"/>
      <c r="F657" s="26"/>
    </row>
    <row r="658" spans="2:6" ht="12.5" x14ac:dyDescent="0.25">
      <c r="B658" s="9"/>
      <c r="C658" s="25"/>
      <c r="F658" s="26"/>
    </row>
    <row r="659" spans="2:6" ht="12.5" x14ac:dyDescent="0.25">
      <c r="B659" s="9"/>
      <c r="C659" s="25"/>
      <c r="F659" s="26"/>
    </row>
    <row r="660" spans="2:6" ht="12.5" x14ac:dyDescent="0.25">
      <c r="B660" s="9"/>
      <c r="C660" s="25"/>
      <c r="F660" s="26"/>
    </row>
    <row r="661" spans="2:6" ht="12.5" x14ac:dyDescent="0.25">
      <c r="B661" s="9"/>
      <c r="C661" s="25"/>
      <c r="F661" s="26"/>
    </row>
    <row r="662" spans="2:6" ht="12.5" x14ac:dyDescent="0.25">
      <c r="B662" s="9"/>
      <c r="C662" s="25"/>
      <c r="F662" s="26"/>
    </row>
    <row r="663" spans="2:6" ht="12.5" x14ac:dyDescent="0.25">
      <c r="B663" s="9"/>
      <c r="C663" s="25"/>
      <c r="F663" s="26"/>
    </row>
    <row r="664" spans="2:6" ht="12.5" x14ac:dyDescent="0.25">
      <c r="B664" s="9"/>
      <c r="C664" s="25"/>
      <c r="F664" s="26"/>
    </row>
    <row r="665" spans="2:6" ht="12.5" x14ac:dyDescent="0.25">
      <c r="B665" s="9"/>
      <c r="C665" s="25"/>
      <c r="F665" s="26"/>
    </row>
    <row r="666" spans="2:6" ht="12.5" x14ac:dyDescent="0.25">
      <c r="B666" s="9"/>
      <c r="C666" s="25"/>
      <c r="F666" s="26"/>
    </row>
    <row r="667" spans="2:6" ht="12.5" x14ac:dyDescent="0.25">
      <c r="B667" s="9"/>
      <c r="C667" s="25"/>
      <c r="F667" s="26"/>
    </row>
    <row r="668" spans="2:6" ht="12.5" x14ac:dyDescent="0.25">
      <c r="B668" s="9"/>
      <c r="C668" s="25"/>
      <c r="F668" s="26"/>
    </row>
    <row r="669" spans="2:6" ht="12.5" x14ac:dyDescent="0.25">
      <c r="B669" s="9"/>
      <c r="C669" s="25"/>
      <c r="F669" s="26"/>
    </row>
    <row r="670" spans="2:6" ht="12.5" x14ac:dyDescent="0.25">
      <c r="B670" s="9"/>
      <c r="C670" s="25"/>
      <c r="F670" s="26"/>
    </row>
    <row r="671" spans="2:6" ht="12.5" x14ac:dyDescent="0.25">
      <c r="B671" s="9"/>
      <c r="C671" s="25"/>
      <c r="F671" s="26"/>
    </row>
    <row r="672" spans="2:6" ht="12.5" x14ac:dyDescent="0.25">
      <c r="B672" s="9"/>
      <c r="C672" s="25"/>
      <c r="F672" s="26"/>
    </row>
    <row r="673" spans="2:6" ht="12.5" x14ac:dyDescent="0.25">
      <c r="B673" s="9"/>
      <c r="C673" s="25"/>
      <c r="F673" s="26"/>
    </row>
    <row r="674" spans="2:6" ht="12.5" x14ac:dyDescent="0.25">
      <c r="B674" s="9"/>
      <c r="C674" s="25"/>
      <c r="F674" s="26"/>
    </row>
    <row r="675" spans="2:6" ht="12.5" x14ac:dyDescent="0.25">
      <c r="B675" s="9"/>
      <c r="C675" s="25"/>
      <c r="F675" s="26"/>
    </row>
    <row r="676" spans="2:6" ht="12.5" x14ac:dyDescent="0.25">
      <c r="B676" s="9"/>
      <c r="C676" s="25"/>
      <c r="F676" s="26"/>
    </row>
    <row r="677" spans="2:6" ht="12.5" x14ac:dyDescent="0.25">
      <c r="B677" s="9"/>
      <c r="C677" s="25"/>
      <c r="F677" s="26"/>
    </row>
    <row r="678" spans="2:6" ht="12.5" x14ac:dyDescent="0.25">
      <c r="B678" s="9"/>
      <c r="C678" s="25"/>
      <c r="F678" s="26"/>
    </row>
    <row r="679" spans="2:6" ht="12.5" x14ac:dyDescent="0.25">
      <c r="B679" s="9"/>
      <c r="C679" s="25"/>
      <c r="F679" s="26"/>
    </row>
    <row r="680" spans="2:6" ht="12.5" x14ac:dyDescent="0.25">
      <c r="B680" s="9"/>
      <c r="C680" s="25"/>
      <c r="F680" s="26"/>
    </row>
    <row r="681" spans="2:6" ht="12.5" x14ac:dyDescent="0.25">
      <c r="B681" s="9"/>
      <c r="C681" s="25"/>
      <c r="F681" s="26"/>
    </row>
    <row r="682" spans="2:6" ht="12.5" x14ac:dyDescent="0.25">
      <c r="B682" s="9"/>
      <c r="C682" s="25"/>
      <c r="F682" s="26"/>
    </row>
    <row r="683" spans="2:6" ht="12.5" x14ac:dyDescent="0.25">
      <c r="B683" s="9"/>
      <c r="C683" s="25"/>
      <c r="F683" s="26"/>
    </row>
    <row r="684" spans="2:6" ht="12.5" x14ac:dyDescent="0.25">
      <c r="B684" s="9"/>
      <c r="C684" s="25"/>
      <c r="F684" s="26"/>
    </row>
    <row r="685" spans="2:6" ht="12.5" x14ac:dyDescent="0.25">
      <c r="B685" s="9"/>
      <c r="C685" s="25"/>
      <c r="F685" s="26"/>
    </row>
    <row r="686" spans="2:6" ht="12.5" x14ac:dyDescent="0.25">
      <c r="B686" s="9"/>
      <c r="C686" s="25"/>
      <c r="F686" s="26"/>
    </row>
    <row r="687" spans="2:6" ht="12.5" x14ac:dyDescent="0.25">
      <c r="B687" s="9"/>
      <c r="C687" s="25"/>
      <c r="F687" s="26"/>
    </row>
    <row r="688" spans="2:6" ht="12.5" x14ac:dyDescent="0.25">
      <c r="B688" s="9"/>
      <c r="C688" s="25"/>
      <c r="F688" s="26"/>
    </row>
    <row r="689" spans="2:6" ht="12.5" x14ac:dyDescent="0.25">
      <c r="B689" s="9"/>
      <c r="C689" s="25"/>
      <c r="F689" s="26"/>
    </row>
    <row r="690" spans="2:6" ht="12.5" x14ac:dyDescent="0.25">
      <c r="B690" s="9"/>
      <c r="C690" s="25"/>
      <c r="F690" s="26"/>
    </row>
    <row r="691" spans="2:6" ht="12.5" x14ac:dyDescent="0.25">
      <c r="B691" s="9"/>
      <c r="C691" s="25"/>
      <c r="F691" s="26"/>
    </row>
    <row r="692" spans="2:6" ht="12.5" x14ac:dyDescent="0.25">
      <c r="B692" s="9"/>
      <c r="C692" s="25"/>
      <c r="F692" s="26"/>
    </row>
    <row r="693" spans="2:6" ht="12.5" x14ac:dyDescent="0.25">
      <c r="B693" s="9"/>
      <c r="C693" s="25"/>
      <c r="F693" s="26"/>
    </row>
    <row r="694" spans="2:6" ht="12.5" x14ac:dyDescent="0.25">
      <c r="B694" s="9"/>
      <c r="C694" s="25"/>
      <c r="F694" s="26"/>
    </row>
    <row r="695" spans="2:6" ht="12.5" x14ac:dyDescent="0.25">
      <c r="B695" s="9"/>
      <c r="C695" s="25"/>
      <c r="F695" s="26"/>
    </row>
    <row r="696" spans="2:6" ht="12.5" x14ac:dyDescent="0.25">
      <c r="B696" s="9"/>
      <c r="C696" s="25"/>
      <c r="F696" s="26"/>
    </row>
    <row r="697" spans="2:6" ht="12.5" x14ac:dyDescent="0.25">
      <c r="B697" s="9"/>
      <c r="C697" s="25"/>
      <c r="F697" s="26"/>
    </row>
    <row r="698" spans="2:6" ht="12.5" x14ac:dyDescent="0.25">
      <c r="B698" s="9"/>
      <c r="C698" s="25"/>
      <c r="F698" s="26"/>
    </row>
    <row r="699" spans="2:6" ht="12.5" x14ac:dyDescent="0.25">
      <c r="B699" s="9"/>
      <c r="C699" s="25"/>
      <c r="F699" s="26"/>
    </row>
    <row r="700" spans="2:6" ht="12.5" x14ac:dyDescent="0.25">
      <c r="B700" s="9"/>
      <c r="C700" s="25"/>
      <c r="F700" s="26"/>
    </row>
    <row r="701" spans="2:6" ht="12.5" x14ac:dyDescent="0.25">
      <c r="B701" s="9"/>
      <c r="C701" s="25"/>
      <c r="F701" s="26"/>
    </row>
    <row r="702" spans="2:6" ht="12.5" x14ac:dyDescent="0.25">
      <c r="B702" s="9"/>
      <c r="C702" s="25"/>
      <c r="F702" s="26"/>
    </row>
    <row r="703" spans="2:6" ht="12.5" x14ac:dyDescent="0.25">
      <c r="B703" s="9"/>
      <c r="C703" s="25"/>
      <c r="F703" s="26"/>
    </row>
    <row r="704" spans="2:6" ht="12.5" x14ac:dyDescent="0.25">
      <c r="B704" s="9"/>
      <c r="C704" s="25"/>
      <c r="F704" s="26"/>
    </row>
    <row r="705" spans="2:6" ht="12.5" x14ac:dyDescent="0.25">
      <c r="B705" s="9"/>
      <c r="C705" s="25"/>
      <c r="F705" s="26"/>
    </row>
    <row r="706" spans="2:6" ht="12.5" x14ac:dyDescent="0.25">
      <c r="B706" s="9"/>
      <c r="C706" s="25"/>
      <c r="F706" s="26"/>
    </row>
    <row r="707" spans="2:6" ht="12.5" x14ac:dyDescent="0.25">
      <c r="B707" s="9"/>
      <c r="C707" s="25"/>
      <c r="F707" s="26"/>
    </row>
    <row r="708" spans="2:6" ht="12.5" x14ac:dyDescent="0.25">
      <c r="B708" s="9"/>
      <c r="C708" s="25"/>
      <c r="F708" s="26"/>
    </row>
    <row r="709" spans="2:6" ht="12.5" x14ac:dyDescent="0.25">
      <c r="B709" s="9"/>
      <c r="C709" s="25"/>
      <c r="F709" s="26"/>
    </row>
    <row r="710" spans="2:6" ht="12.5" x14ac:dyDescent="0.25">
      <c r="B710" s="9"/>
      <c r="C710" s="25"/>
      <c r="F710" s="26"/>
    </row>
    <row r="711" spans="2:6" ht="12.5" x14ac:dyDescent="0.25">
      <c r="B711" s="9"/>
      <c r="C711" s="25"/>
      <c r="F711" s="26"/>
    </row>
    <row r="712" spans="2:6" ht="12.5" x14ac:dyDescent="0.25">
      <c r="B712" s="9"/>
      <c r="C712" s="25"/>
      <c r="F712" s="26"/>
    </row>
    <row r="713" spans="2:6" ht="12.5" x14ac:dyDescent="0.25">
      <c r="B713" s="9"/>
      <c r="C713" s="25"/>
      <c r="F713" s="26"/>
    </row>
    <row r="714" spans="2:6" ht="12.5" x14ac:dyDescent="0.25">
      <c r="B714" s="9"/>
      <c r="C714" s="25"/>
      <c r="F714" s="26"/>
    </row>
    <row r="715" spans="2:6" ht="12.5" x14ac:dyDescent="0.25">
      <c r="B715" s="9"/>
      <c r="C715" s="25"/>
      <c r="F715" s="26"/>
    </row>
    <row r="716" spans="2:6" ht="12.5" x14ac:dyDescent="0.25">
      <c r="B716" s="9"/>
      <c r="C716" s="25"/>
      <c r="F716" s="26"/>
    </row>
    <row r="717" spans="2:6" ht="12.5" x14ac:dyDescent="0.25">
      <c r="B717" s="9"/>
      <c r="C717" s="25"/>
      <c r="F717" s="26"/>
    </row>
    <row r="718" spans="2:6" ht="12.5" x14ac:dyDescent="0.25">
      <c r="B718" s="9"/>
      <c r="C718" s="25"/>
      <c r="F718" s="26"/>
    </row>
    <row r="719" spans="2:6" ht="12.5" x14ac:dyDescent="0.25">
      <c r="B719" s="9"/>
      <c r="C719" s="25"/>
      <c r="F719" s="26"/>
    </row>
    <row r="720" spans="2:6" ht="12.5" x14ac:dyDescent="0.25">
      <c r="B720" s="9"/>
      <c r="C720" s="25"/>
      <c r="F720" s="26"/>
    </row>
    <row r="721" spans="2:6" ht="12.5" x14ac:dyDescent="0.25">
      <c r="B721" s="9"/>
      <c r="C721" s="25"/>
      <c r="F721" s="26"/>
    </row>
    <row r="722" spans="2:6" ht="12.5" x14ac:dyDescent="0.25">
      <c r="B722" s="9"/>
      <c r="C722" s="25"/>
      <c r="F722" s="26"/>
    </row>
    <row r="723" spans="2:6" ht="12.5" x14ac:dyDescent="0.25">
      <c r="B723" s="9"/>
      <c r="C723" s="25"/>
      <c r="F723" s="26"/>
    </row>
    <row r="724" spans="2:6" ht="12.5" x14ac:dyDescent="0.25">
      <c r="B724" s="9"/>
      <c r="C724" s="25"/>
      <c r="F724" s="26"/>
    </row>
    <row r="725" spans="2:6" ht="12.5" x14ac:dyDescent="0.25">
      <c r="B725" s="9"/>
      <c r="C725" s="25"/>
      <c r="F725" s="26"/>
    </row>
    <row r="726" spans="2:6" ht="12.5" x14ac:dyDescent="0.25">
      <c r="B726" s="9"/>
      <c r="C726" s="25"/>
      <c r="F726" s="26"/>
    </row>
    <row r="727" spans="2:6" ht="12.5" x14ac:dyDescent="0.25">
      <c r="B727" s="9"/>
      <c r="C727" s="25"/>
      <c r="F727" s="26"/>
    </row>
    <row r="728" spans="2:6" ht="12.5" x14ac:dyDescent="0.25">
      <c r="B728" s="9"/>
      <c r="C728" s="25"/>
      <c r="F728" s="26"/>
    </row>
    <row r="729" spans="2:6" ht="12.5" x14ac:dyDescent="0.25">
      <c r="B729" s="9"/>
      <c r="C729" s="25"/>
      <c r="F729" s="26"/>
    </row>
    <row r="730" spans="2:6" ht="12.5" x14ac:dyDescent="0.25">
      <c r="B730" s="9"/>
      <c r="C730" s="25"/>
      <c r="F730" s="26"/>
    </row>
    <row r="731" spans="2:6" ht="12.5" x14ac:dyDescent="0.25">
      <c r="B731" s="9"/>
      <c r="C731" s="25"/>
      <c r="F731" s="26"/>
    </row>
    <row r="732" spans="2:6" ht="12.5" x14ac:dyDescent="0.25">
      <c r="B732" s="9"/>
      <c r="C732" s="25"/>
      <c r="F732" s="26"/>
    </row>
    <row r="733" spans="2:6" ht="12.5" x14ac:dyDescent="0.25">
      <c r="B733" s="9"/>
      <c r="C733" s="25"/>
      <c r="F733" s="26"/>
    </row>
    <row r="734" spans="2:6" ht="12.5" x14ac:dyDescent="0.25">
      <c r="B734" s="9"/>
      <c r="C734" s="25"/>
      <c r="F734" s="26"/>
    </row>
    <row r="735" spans="2:6" ht="12.5" x14ac:dyDescent="0.25">
      <c r="B735" s="9"/>
      <c r="C735" s="25"/>
      <c r="F735" s="26"/>
    </row>
    <row r="736" spans="2:6" ht="12.5" x14ac:dyDescent="0.25">
      <c r="B736" s="9"/>
      <c r="C736" s="25"/>
      <c r="F736" s="26"/>
    </row>
    <row r="737" spans="2:6" ht="12.5" x14ac:dyDescent="0.25">
      <c r="B737" s="9"/>
      <c r="C737" s="25"/>
      <c r="F737" s="26"/>
    </row>
    <row r="738" spans="2:6" ht="12.5" x14ac:dyDescent="0.25">
      <c r="B738" s="9"/>
      <c r="C738" s="25"/>
      <c r="F738" s="26"/>
    </row>
    <row r="739" spans="2:6" ht="12.5" x14ac:dyDescent="0.25">
      <c r="B739" s="9"/>
      <c r="C739" s="25"/>
      <c r="F739" s="26"/>
    </row>
    <row r="740" spans="2:6" ht="12.5" x14ac:dyDescent="0.25">
      <c r="B740" s="9"/>
      <c r="C740" s="25"/>
      <c r="F740" s="26"/>
    </row>
    <row r="741" spans="2:6" ht="12.5" x14ac:dyDescent="0.25">
      <c r="B741" s="9"/>
      <c r="C741" s="25"/>
      <c r="F741" s="26"/>
    </row>
    <row r="742" spans="2:6" ht="12.5" x14ac:dyDescent="0.25">
      <c r="B742" s="9"/>
      <c r="C742" s="25"/>
      <c r="F742" s="26"/>
    </row>
    <row r="743" spans="2:6" ht="12.5" x14ac:dyDescent="0.25">
      <c r="B743" s="9"/>
      <c r="C743" s="25"/>
      <c r="F743" s="26"/>
    </row>
    <row r="744" spans="2:6" ht="12.5" x14ac:dyDescent="0.25">
      <c r="B744" s="9"/>
      <c r="C744" s="25"/>
      <c r="F744" s="26"/>
    </row>
    <row r="745" spans="2:6" ht="12.5" x14ac:dyDescent="0.25">
      <c r="B745" s="9"/>
      <c r="C745" s="25"/>
      <c r="F745" s="26"/>
    </row>
    <row r="746" spans="2:6" ht="12.5" x14ac:dyDescent="0.25">
      <c r="B746" s="9"/>
      <c r="C746" s="25"/>
      <c r="F746" s="26"/>
    </row>
    <row r="747" spans="2:6" ht="12.5" x14ac:dyDescent="0.25">
      <c r="B747" s="9"/>
      <c r="C747" s="25"/>
      <c r="F747" s="26"/>
    </row>
    <row r="748" spans="2:6" ht="12.5" x14ac:dyDescent="0.25">
      <c r="B748" s="9"/>
      <c r="C748" s="25"/>
      <c r="F748" s="26"/>
    </row>
    <row r="749" spans="2:6" ht="12.5" x14ac:dyDescent="0.25">
      <c r="B749" s="9"/>
      <c r="C749" s="25"/>
      <c r="F749" s="26"/>
    </row>
    <row r="750" spans="2:6" ht="12.5" x14ac:dyDescent="0.25">
      <c r="B750" s="9"/>
      <c r="C750" s="25"/>
      <c r="F750" s="26"/>
    </row>
    <row r="751" spans="2:6" ht="12.5" x14ac:dyDescent="0.25">
      <c r="B751" s="9"/>
      <c r="C751" s="25"/>
      <c r="F751" s="26"/>
    </row>
    <row r="752" spans="2:6" ht="12.5" x14ac:dyDescent="0.25">
      <c r="B752" s="9"/>
      <c r="C752" s="25"/>
      <c r="F752" s="26"/>
    </row>
    <row r="753" spans="2:6" ht="12.5" x14ac:dyDescent="0.25">
      <c r="B753" s="9"/>
      <c r="C753" s="25"/>
      <c r="F753" s="26"/>
    </row>
    <row r="754" spans="2:6" ht="12.5" x14ac:dyDescent="0.25">
      <c r="B754" s="9"/>
      <c r="C754" s="25"/>
      <c r="F754" s="26"/>
    </row>
    <row r="755" spans="2:6" ht="12.5" x14ac:dyDescent="0.25">
      <c r="B755" s="9"/>
      <c r="C755" s="25"/>
      <c r="F755" s="26"/>
    </row>
    <row r="756" spans="2:6" ht="12.5" x14ac:dyDescent="0.25">
      <c r="B756" s="9"/>
      <c r="C756" s="25"/>
      <c r="F756" s="26"/>
    </row>
    <row r="757" spans="2:6" ht="12.5" x14ac:dyDescent="0.25">
      <c r="B757" s="9"/>
      <c r="C757" s="25"/>
      <c r="F757" s="26"/>
    </row>
    <row r="758" spans="2:6" ht="12.5" x14ac:dyDescent="0.25">
      <c r="B758" s="9"/>
      <c r="C758" s="25"/>
      <c r="F758" s="26"/>
    </row>
    <row r="759" spans="2:6" ht="12.5" x14ac:dyDescent="0.25">
      <c r="B759" s="9"/>
      <c r="C759" s="25"/>
      <c r="F759" s="26"/>
    </row>
    <row r="760" spans="2:6" ht="12.5" x14ac:dyDescent="0.25">
      <c r="B760" s="9"/>
      <c r="C760" s="25"/>
      <c r="F760" s="26"/>
    </row>
    <row r="761" spans="2:6" ht="12.5" x14ac:dyDescent="0.25">
      <c r="B761" s="9"/>
      <c r="C761" s="25"/>
      <c r="F761" s="26"/>
    </row>
    <row r="762" spans="2:6" ht="12.5" x14ac:dyDescent="0.25">
      <c r="B762" s="9"/>
      <c r="C762" s="25"/>
      <c r="F762" s="26"/>
    </row>
    <row r="763" spans="2:6" ht="12.5" x14ac:dyDescent="0.25">
      <c r="B763" s="9"/>
      <c r="C763" s="25"/>
      <c r="F763" s="26"/>
    </row>
    <row r="764" spans="2:6" ht="12.5" x14ac:dyDescent="0.25">
      <c r="B764" s="9"/>
      <c r="C764" s="25"/>
      <c r="F764" s="26"/>
    </row>
    <row r="765" spans="2:6" ht="12.5" x14ac:dyDescent="0.25">
      <c r="B765" s="9"/>
      <c r="C765" s="25"/>
      <c r="F765" s="26"/>
    </row>
    <row r="766" spans="2:6" ht="12.5" x14ac:dyDescent="0.25">
      <c r="B766" s="9"/>
      <c r="C766" s="25"/>
      <c r="F766" s="26"/>
    </row>
    <row r="767" spans="2:6" ht="12.5" x14ac:dyDescent="0.25">
      <c r="B767" s="9"/>
      <c r="C767" s="25"/>
      <c r="F767" s="26"/>
    </row>
    <row r="768" spans="2:6" ht="12.5" x14ac:dyDescent="0.25">
      <c r="B768" s="9"/>
      <c r="C768" s="25"/>
      <c r="F768" s="26"/>
    </row>
    <row r="769" spans="2:6" ht="12.5" x14ac:dyDescent="0.25">
      <c r="B769" s="9"/>
      <c r="C769" s="25"/>
      <c r="F769" s="26"/>
    </row>
    <row r="770" spans="2:6" ht="12.5" x14ac:dyDescent="0.25">
      <c r="B770" s="9"/>
      <c r="C770" s="25"/>
      <c r="F770" s="26"/>
    </row>
    <row r="771" spans="2:6" ht="12.5" x14ac:dyDescent="0.25">
      <c r="B771" s="9"/>
      <c r="C771" s="25"/>
      <c r="F771" s="26"/>
    </row>
    <row r="772" spans="2:6" ht="12.5" x14ac:dyDescent="0.25">
      <c r="B772" s="9"/>
      <c r="C772" s="25"/>
      <c r="F772" s="26"/>
    </row>
    <row r="773" spans="2:6" ht="12.5" x14ac:dyDescent="0.25">
      <c r="B773" s="9"/>
      <c r="C773" s="25"/>
      <c r="F773" s="26"/>
    </row>
    <row r="774" spans="2:6" ht="12.5" x14ac:dyDescent="0.25">
      <c r="B774" s="9"/>
      <c r="C774" s="25"/>
      <c r="F774" s="26"/>
    </row>
    <row r="775" spans="2:6" ht="12.5" x14ac:dyDescent="0.25">
      <c r="B775" s="9"/>
      <c r="C775" s="25"/>
      <c r="F775" s="26"/>
    </row>
    <row r="776" spans="2:6" ht="12.5" x14ac:dyDescent="0.25">
      <c r="B776" s="9"/>
      <c r="C776" s="25"/>
      <c r="F776" s="26"/>
    </row>
    <row r="777" spans="2:6" ht="12.5" x14ac:dyDescent="0.25">
      <c r="B777" s="9"/>
      <c r="C777" s="25"/>
      <c r="F777" s="26"/>
    </row>
    <row r="778" spans="2:6" ht="12.5" x14ac:dyDescent="0.25">
      <c r="B778" s="9"/>
      <c r="C778" s="25"/>
      <c r="F778" s="26"/>
    </row>
    <row r="779" spans="2:6" ht="12.5" x14ac:dyDescent="0.25">
      <c r="B779" s="9"/>
      <c r="C779" s="25"/>
      <c r="F779" s="26"/>
    </row>
    <row r="780" spans="2:6" ht="12.5" x14ac:dyDescent="0.25">
      <c r="B780" s="9"/>
      <c r="C780" s="25"/>
      <c r="F780" s="26"/>
    </row>
    <row r="781" spans="2:6" ht="12.5" x14ac:dyDescent="0.25">
      <c r="B781" s="9"/>
      <c r="C781" s="25"/>
      <c r="F781" s="26"/>
    </row>
    <row r="782" spans="2:6" ht="12.5" x14ac:dyDescent="0.25">
      <c r="B782" s="9"/>
      <c r="C782" s="25"/>
      <c r="F782" s="26"/>
    </row>
    <row r="783" spans="2:6" ht="12.5" x14ac:dyDescent="0.25">
      <c r="B783" s="9"/>
      <c r="C783" s="25"/>
      <c r="F783" s="26"/>
    </row>
    <row r="784" spans="2:6" ht="12.5" x14ac:dyDescent="0.25">
      <c r="B784" s="9"/>
      <c r="C784" s="25"/>
      <c r="F784" s="26"/>
    </row>
    <row r="785" spans="2:6" ht="12.5" x14ac:dyDescent="0.25">
      <c r="B785" s="9"/>
      <c r="C785" s="25"/>
      <c r="F785" s="26"/>
    </row>
    <row r="786" spans="2:6" ht="12.5" x14ac:dyDescent="0.25">
      <c r="B786" s="9"/>
      <c r="C786" s="25"/>
      <c r="F786" s="26"/>
    </row>
    <row r="787" spans="2:6" ht="12.5" x14ac:dyDescent="0.25">
      <c r="B787" s="9"/>
      <c r="C787" s="25"/>
      <c r="F787" s="26"/>
    </row>
    <row r="788" spans="2:6" ht="12.5" x14ac:dyDescent="0.25">
      <c r="B788" s="9"/>
      <c r="C788" s="25"/>
      <c r="F788" s="26"/>
    </row>
    <row r="789" spans="2:6" ht="12.5" x14ac:dyDescent="0.25">
      <c r="B789" s="9"/>
      <c r="C789" s="25"/>
      <c r="F789" s="26"/>
    </row>
    <row r="790" spans="2:6" ht="12.5" x14ac:dyDescent="0.25">
      <c r="B790" s="9"/>
      <c r="C790" s="25"/>
      <c r="F790" s="26"/>
    </row>
    <row r="791" spans="2:6" ht="12.5" x14ac:dyDescent="0.25">
      <c r="B791" s="9"/>
      <c r="C791" s="25"/>
      <c r="F791" s="26"/>
    </row>
    <row r="792" spans="2:6" ht="12.5" x14ac:dyDescent="0.25">
      <c r="B792" s="9"/>
      <c r="C792" s="25"/>
      <c r="F792" s="26"/>
    </row>
    <row r="793" spans="2:6" ht="12.5" x14ac:dyDescent="0.25">
      <c r="B793" s="9"/>
      <c r="C793" s="25"/>
      <c r="F793" s="26"/>
    </row>
    <row r="794" spans="2:6" ht="12.5" x14ac:dyDescent="0.25">
      <c r="B794" s="9"/>
      <c r="C794" s="25"/>
      <c r="F794" s="26"/>
    </row>
    <row r="795" spans="2:6" ht="12.5" x14ac:dyDescent="0.25">
      <c r="B795" s="9"/>
      <c r="C795" s="25"/>
      <c r="F795" s="26"/>
    </row>
    <row r="796" spans="2:6" ht="12.5" x14ac:dyDescent="0.25">
      <c r="B796" s="9"/>
      <c r="C796" s="25"/>
      <c r="F796" s="26"/>
    </row>
    <row r="797" spans="2:6" ht="12.5" x14ac:dyDescent="0.25">
      <c r="B797" s="9"/>
      <c r="C797" s="25"/>
      <c r="F797" s="26"/>
    </row>
    <row r="798" spans="2:6" ht="12.5" x14ac:dyDescent="0.25">
      <c r="B798" s="9"/>
      <c r="C798" s="25"/>
      <c r="F798" s="26"/>
    </row>
    <row r="799" spans="2:6" ht="12.5" x14ac:dyDescent="0.25">
      <c r="B799" s="9"/>
      <c r="C799" s="25"/>
      <c r="F799" s="26"/>
    </row>
    <row r="800" spans="2:6" ht="12.5" x14ac:dyDescent="0.25">
      <c r="B800" s="9"/>
      <c r="C800" s="25"/>
      <c r="F800" s="26"/>
    </row>
    <row r="801" spans="2:6" ht="12.5" x14ac:dyDescent="0.25">
      <c r="B801" s="9"/>
      <c r="C801" s="25"/>
      <c r="F801" s="26"/>
    </row>
    <row r="802" spans="2:6" ht="12.5" x14ac:dyDescent="0.25">
      <c r="B802" s="9"/>
      <c r="C802" s="25"/>
      <c r="F802" s="26"/>
    </row>
    <row r="803" spans="2:6" ht="12.5" x14ac:dyDescent="0.25">
      <c r="B803" s="9"/>
      <c r="C803" s="25"/>
      <c r="F803" s="26"/>
    </row>
    <row r="804" spans="2:6" ht="12.5" x14ac:dyDescent="0.25">
      <c r="B804" s="9"/>
      <c r="C804" s="25"/>
      <c r="F804" s="26"/>
    </row>
    <row r="805" spans="2:6" ht="12.5" x14ac:dyDescent="0.25">
      <c r="B805" s="9"/>
      <c r="C805" s="25"/>
      <c r="F805" s="26"/>
    </row>
    <row r="806" spans="2:6" ht="12.5" x14ac:dyDescent="0.25">
      <c r="B806" s="9"/>
      <c r="C806" s="25"/>
      <c r="F806" s="26"/>
    </row>
    <row r="807" spans="2:6" ht="12.5" x14ac:dyDescent="0.25">
      <c r="B807" s="9"/>
      <c r="C807" s="25"/>
      <c r="F807" s="26"/>
    </row>
    <row r="808" spans="2:6" ht="12.5" x14ac:dyDescent="0.25">
      <c r="B808" s="9"/>
      <c r="C808" s="25"/>
      <c r="F808" s="26"/>
    </row>
    <row r="809" spans="2:6" ht="12.5" x14ac:dyDescent="0.25">
      <c r="B809" s="9"/>
      <c r="C809" s="25"/>
      <c r="F809" s="26"/>
    </row>
    <row r="810" spans="2:6" ht="12.5" x14ac:dyDescent="0.25">
      <c r="B810" s="9"/>
      <c r="C810" s="25"/>
      <c r="F810" s="26"/>
    </row>
    <row r="811" spans="2:6" ht="12.5" x14ac:dyDescent="0.25">
      <c r="B811" s="9"/>
      <c r="C811" s="25"/>
      <c r="F811" s="26"/>
    </row>
    <row r="812" spans="2:6" ht="12.5" x14ac:dyDescent="0.25">
      <c r="B812" s="9"/>
      <c r="C812" s="25"/>
      <c r="F812" s="26"/>
    </row>
    <row r="813" spans="2:6" ht="12.5" x14ac:dyDescent="0.25">
      <c r="B813" s="9"/>
      <c r="C813" s="25"/>
      <c r="F813" s="26"/>
    </row>
    <row r="814" spans="2:6" ht="12.5" x14ac:dyDescent="0.25">
      <c r="B814" s="9"/>
      <c r="C814" s="25"/>
      <c r="F814" s="26"/>
    </row>
    <row r="815" spans="2:6" ht="12.5" x14ac:dyDescent="0.25">
      <c r="B815" s="9"/>
      <c r="C815" s="25"/>
      <c r="F815" s="26"/>
    </row>
    <row r="816" spans="2:6" ht="12.5" x14ac:dyDescent="0.25">
      <c r="B816" s="9"/>
      <c r="C816" s="25"/>
      <c r="F816" s="26"/>
    </row>
    <row r="817" spans="2:6" ht="12.5" x14ac:dyDescent="0.25">
      <c r="B817" s="9"/>
      <c r="C817" s="25"/>
      <c r="F817" s="26"/>
    </row>
    <row r="818" spans="2:6" ht="12.5" x14ac:dyDescent="0.25">
      <c r="B818" s="9"/>
      <c r="C818" s="25"/>
      <c r="F818" s="26"/>
    </row>
    <row r="819" spans="2:6" ht="12.5" x14ac:dyDescent="0.25">
      <c r="B819" s="9"/>
      <c r="C819" s="25"/>
      <c r="F819" s="26"/>
    </row>
    <row r="820" spans="2:6" ht="12.5" x14ac:dyDescent="0.25">
      <c r="B820" s="9"/>
      <c r="C820" s="25"/>
      <c r="F820" s="26"/>
    </row>
    <row r="821" spans="2:6" ht="12.5" x14ac:dyDescent="0.25">
      <c r="B821" s="9"/>
      <c r="C821" s="25"/>
      <c r="F821" s="26"/>
    </row>
    <row r="822" spans="2:6" ht="12.5" x14ac:dyDescent="0.25">
      <c r="B822" s="9"/>
      <c r="C822" s="25"/>
      <c r="F822" s="26"/>
    </row>
    <row r="823" spans="2:6" ht="12.5" x14ac:dyDescent="0.25">
      <c r="B823" s="9"/>
      <c r="C823" s="25"/>
      <c r="F823" s="26"/>
    </row>
    <row r="824" spans="2:6" ht="12.5" x14ac:dyDescent="0.25">
      <c r="B824" s="9"/>
      <c r="C824" s="25"/>
      <c r="F824" s="26"/>
    </row>
    <row r="825" spans="2:6" ht="12.5" x14ac:dyDescent="0.25">
      <c r="B825" s="9"/>
      <c r="C825" s="25"/>
      <c r="F825" s="26"/>
    </row>
    <row r="826" spans="2:6" ht="12.5" x14ac:dyDescent="0.25">
      <c r="B826" s="9"/>
      <c r="C826" s="25"/>
      <c r="F826" s="26"/>
    </row>
    <row r="827" spans="2:6" ht="12.5" x14ac:dyDescent="0.25">
      <c r="B827" s="9"/>
      <c r="C827" s="25"/>
      <c r="F827" s="26"/>
    </row>
    <row r="828" spans="2:6" ht="12.5" x14ac:dyDescent="0.25">
      <c r="B828" s="9"/>
      <c r="C828" s="25"/>
      <c r="F828" s="26"/>
    </row>
    <row r="829" spans="2:6" ht="12.5" x14ac:dyDescent="0.25">
      <c r="B829" s="9"/>
      <c r="C829" s="25"/>
      <c r="F829" s="26"/>
    </row>
    <row r="830" spans="2:6" ht="12.5" x14ac:dyDescent="0.25">
      <c r="B830" s="9"/>
      <c r="C830" s="25"/>
      <c r="F830" s="26"/>
    </row>
    <row r="831" spans="2:6" ht="12.5" x14ac:dyDescent="0.25">
      <c r="B831" s="9"/>
      <c r="C831" s="25"/>
      <c r="F831" s="26"/>
    </row>
    <row r="832" spans="2:6" ht="12.5" x14ac:dyDescent="0.25">
      <c r="B832" s="9"/>
      <c r="C832" s="25"/>
      <c r="F832" s="26"/>
    </row>
    <row r="833" spans="2:6" ht="12.5" x14ac:dyDescent="0.25">
      <c r="B833" s="9"/>
      <c r="C833" s="25"/>
      <c r="F833" s="26"/>
    </row>
    <row r="834" spans="2:6" ht="12.5" x14ac:dyDescent="0.25">
      <c r="B834" s="9"/>
      <c r="C834" s="25"/>
      <c r="F834" s="26"/>
    </row>
    <row r="835" spans="2:6" ht="12.5" x14ac:dyDescent="0.25">
      <c r="B835" s="9"/>
      <c r="C835" s="25"/>
      <c r="F835" s="26"/>
    </row>
    <row r="836" spans="2:6" ht="12.5" x14ac:dyDescent="0.25">
      <c r="B836" s="9"/>
      <c r="C836" s="25"/>
      <c r="F836" s="26"/>
    </row>
    <row r="837" spans="2:6" ht="12.5" x14ac:dyDescent="0.25">
      <c r="B837" s="9"/>
      <c r="C837" s="25"/>
      <c r="F837" s="26"/>
    </row>
    <row r="838" spans="2:6" ht="12.5" x14ac:dyDescent="0.25">
      <c r="B838" s="9"/>
      <c r="C838" s="25"/>
      <c r="F838" s="26"/>
    </row>
    <row r="839" spans="2:6" ht="12.5" x14ac:dyDescent="0.25">
      <c r="B839" s="9"/>
      <c r="C839" s="25"/>
      <c r="F839" s="26"/>
    </row>
    <row r="840" spans="2:6" ht="12.5" x14ac:dyDescent="0.25">
      <c r="B840" s="9"/>
      <c r="C840" s="25"/>
      <c r="F840" s="26"/>
    </row>
    <row r="841" spans="2:6" ht="12.5" x14ac:dyDescent="0.25">
      <c r="B841" s="9"/>
      <c r="C841" s="25"/>
      <c r="F841" s="26"/>
    </row>
    <row r="842" spans="2:6" ht="12.5" x14ac:dyDescent="0.25">
      <c r="B842" s="9"/>
      <c r="C842" s="25"/>
      <c r="F842" s="26"/>
    </row>
    <row r="843" spans="2:6" ht="12.5" x14ac:dyDescent="0.25">
      <c r="B843" s="9"/>
      <c r="C843" s="25"/>
      <c r="F843" s="26"/>
    </row>
    <row r="844" spans="2:6" ht="12.5" x14ac:dyDescent="0.25">
      <c r="B844" s="9"/>
      <c r="C844" s="25"/>
      <c r="F844" s="26"/>
    </row>
    <row r="845" spans="2:6" ht="12.5" x14ac:dyDescent="0.25">
      <c r="B845" s="9"/>
      <c r="C845" s="25"/>
      <c r="F845" s="26"/>
    </row>
    <row r="846" spans="2:6" ht="12.5" x14ac:dyDescent="0.25">
      <c r="B846" s="9"/>
      <c r="C846" s="25"/>
      <c r="F846" s="26"/>
    </row>
    <row r="847" spans="2:6" ht="12.5" x14ac:dyDescent="0.25">
      <c r="B847" s="9"/>
      <c r="C847" s="25"/>
      <c r="F847" s="26"/>
    </row>
    <row r="848" spans="2:6" ht="12.5" x14ac:dyDescent="0.25">
      <c r="B848" s="9"/>
      <c r="C848" s="25"/>
      <c r="F848" s="26"/>
    </row>
    <row r="849" spans="2:6" ht="12.5" x14ac:dyDescent="0.25">
      <c r="B849" s="9"/>
      <c r="C849" s="25"/>
      <c r="F849" s="26"/>
    </row>
    <row r="850" spans="2:6" ht="12.5" x14ac:dyDescent="0.25">
      <c r="B850" s="9"/>
      <c r="C850" s="25"/>
      <c r="F850" s="26"/>
    </row>
    <row r="851" spans="2:6" ht="12.5" x14ac:dyDescent="0.25">
      <c r="B851" s="9"/>
      <c r="C851" s="25"/>
      <c r="F851" s="26"/>
    </row>
    <row r="852" spans="2:6" ht="12.5" x14ac:dyDescent="0.25">
      <c r="B852" s="9"/>
      <c r="C852" s="25"/>
      <c r="F852" s="26"/>
    </row>
    <row r="853" spans="2:6" ht="12.5" x14ac:dyDescent="0.25">
      <c r="B853" s="9"/>
      <c r="C853" s="25"/>
      <c r="F853" s="26"/>
    </row>
    <row r="854" spans="2:6" ht="12.5" x14ac:dyDescent="0.25">
      <c r="B854" s="9"/>
      <c r="C854" s="25"/>
      <c r="F854" s="26"/>
    </row>
    <row r="855" spans="2:6" ht="12.5" x14ac:dyDescent="0.25">
      <c r="B855" s="9"/>
      <c r="C855" s="25"/>
      <c r="F855" s="26"/>
    </row>
    <row r="856" spans="2:6" ht="12.5" x14ac:dyDescent="0.25">
      <c r="B856" s="9"/>
      <c r="C856" s="25"/>
      <c r="F856" s="26"/>
    </row>
    <row r="857" spans="2:6" ht="12.5" x14ac:dyDescent="0.25">
      <c r="B857" s="9"/>
      <c r="C857" s="25"/>
      <c r="F857" s="26"/>
    </row>
    <row r="858" spans="2:6" ht="12.5" x14ac:dyDescent="0.25">
      <c r="B858" s="9"/>
      <c r="C858" s="25"/>
      <c r="F858" s="26"/>
    </row>
    <row r="859" spans="2:6" ht="12.5" x14ac:dyDescent="0.25">
      <c r="B859" s="9"/>
      <c r="C859" s="25"/>
      <c r="F859" s="26"/>
    </row>
    <row r="860" spans="2:6" ht="12.5" x14ac:dyDescent="0.25">
      <c r="B860" s="9"/>
      <c r="C860" s="25"/>
      <c r="F860" s="26"/>
    </row>
    <row r="861" spans="2:6" ht="12.5" x14ac:dyDescent="0.25">
      <c r="B861" s="9"/>
      <c r="C861" s="25"/>
      <c r="F861" s="26"/>
    </row>
    <row r="862" spans="2:6" ht="12.5" x14ac:dyDescent="0.25">
      <c r="B862" s="9"/>
      <c r="C862" s="25"/>
      <c r="F862" s="26"/>
    </row>
    <row r="863" spans="2:6" ht="12.5" x14ac:dyDescent="0.25">
      <c r="B863" s="9"/>
      <c r="C863" s="25"/>
      <c r="F863" s="26"/>
    </row>
    <row r="864" spans="2:6" ht="12.5" x14ac:dyDescent="0.25">
      <c r="B864" s="9"/>
      <c r="C864" s="25"/>
      <c r="F864" s="26"/>
    </row>
    <row r="865" spans="2:6" ht="12.5" x14ac:dyDescent="0.25">
      <c r="B865" s="9"/>
      <c r="C865" s="25"/>
      <c r="F865" s="26"/>
    </row>
    <row r="866" spans="2:6" ht="12.5" x14ac:dyDescent="0.25">
      <c r="B866" s="9"/>
      <c r="C866" s="25"/>
      <c r="F866" s="26"/>
    </row>
    <row r="867" spans="2:6" ht="12.5" x14ac:dyDescent="0.25">
      <c r="B867" s="9"/>
      <c r="C867" s="25"/>
      <c r="F867" s="26"/>
    </row>
    <row r="868" spans="2:6" ht="12.5" x14ac:dyDescent="0.25">
      <c r="B868" s="9"/>
      <c r="C868" s="25"/>
      <c r="F868" s="26"/>
    </row>
    <row r="869" spans="2:6" ht="12.5" x14ac:dyDescent="0.25">
      <c r="B869" s="9"/>
      <c r="C869" s="25"/>
      <c r="F869" s="26"/>
    </row>
    <row r="870" spans="2:6" ht="12.5" x14ac:dyDescent="0.25">
      <c r="B870" s="9"/>
      <c r="C870" s="25"/>
      <c r="F870" s="26"/>
    </row>
    <row r="871" spans="2:6" ht="12.5" x14ac:dyDescent="0.25">
      <c r="B871" s="9"/>
      <c r="C871" s="25"/>
      <c r="F871" s="26"/>
    </row>
    <row r="872" spans="2:6" ht="12.5" x14ac:dyDescent="0.25">
      <c r="B872" s="9"/>
      <c r="C872" s="25"/>
      <c r="F872" s="26"/>
    </row>
    <row r="873" spans="2:6" ht="12.5" x14ac:dyDescent="0.25">
      <c r="B873" s="9"/>
      <c r="C873" s="25"/>
      <c r="F873" s="26"/>
    </row>
    <row r="874" spans="2:6" ht="12.5" x14ac:dyDescent="0.25">
      <c r="B874" s="9"/>
      <c r="C874" s="25"/>
      <c r="F874" s="26"/>
    </row>
    <row r="875" spans="2:6" ht="12.5" x14ac:dyDescent="0.25">
      <c r="B875" s="9"/>
      <c r="C875" s="25"/>
      <c r="F875" s="26"/>
    </row>
    <row r="876" spans="2:6" ht="12.5" x14ac:dyDescent="0.25">
      <c r="B876" s="9"/>
      <c r="C876" s="25"/>
      <c r="F876" s="26"/>
    </row>
    <row r="877" spans="2:6" ht="12.5" x14ac:dyDescent="0.25">
      <c r="B877" s="9"/>
      <c r="C877" s="25"/>
      <c r="F877" s="26"/>
    </row>
    <row r="878" spans="2:6" ht="12.5" x14ac:dyDescent="0.25">
      <c r="B878" s="9"/>
      <c r="C878" s="25"/>
      <c r="F878" s="26"/>
    </row>
    <row r="879" spans="2:6" ht="12.5" x14ac:dyDescent="0.25">
      <c r="B879" s="9"/>
      <c r="C879" s="25"/>
      <c r="F879" s="26"/>
    </row>
    <row r="880" spans="2:6" ht="12.5" x14ac:dyDescent="0.25">
      <c r="B880" s="9"/>
      <c r="C880" s="25"/>
      <c r="F880" s="26"/>
    </row>
    <row r="881" spans="2:6" ht="12.5" x14ac:dyDescent="0.25">
      <c r="B881" s="9"/>
      <c r="C881" s="25"/>
      <c r="F881" s="26"/>
    </row>
    <row r="882" spans="2:6" ht="12.5" x14ac:dyDescent="0.25">
      <c r="B882" s="9"/>
      <c r="C882" s="25"/>
      <c r="F882" s="26"/>
    </row>
    <row r="883" spans="2:6" ht="12.5" x14ac:dyDescent="0.25">
      <c r="B883" s="9"/>
      <c r="C883" s="25"/>
      <c r="F883" s="26"/>
    </row>
    <row r="884" spans="2:6" ht="12.5" x14ac:dyDescent="0.25">
      <c r="B884" s="9"/>
      <c r="C884" s="25"/>
      <c r="F884" s="26"/>
    </row>
    <row r="885" spans="2:6" ht="12.5" x14ac:dyDescent="0.25">
      <c r="B885" s="9"/>
      <c r="C885" s="25"/>
      <c r="F885" s="26"/>
    </row>
    <row r="886" spans="2:6" ht="12.5" x14ac:dyDescent="0.25">
      <c r="B886" s="9"/>
      <c r="C886" s="25"/>
      <c r="F886" s="26"/>
    </row>
    <row r="887" spans="2:6" ht="12.5" x14ac:dyDescent="0.25">
      <c r="B887" s="9"/>
      <c r="C887" s="25"/>
      <c r="F887" s="26"/>
    </row>
    <row r="888" spans="2:6" ht="12.5" x14ac:dyDescent="0.25">
      <c r="B888" s="9"/>
      <c r="C888" s="25"/>
      <c r="F888" s="26"/>
    </row>
    <row r="889" spans="2:6" ht="12.5" x14ac:dyDescent="0.25">
      <c r="B889" s="9"/>
      <c r="C889" s="25"/>
      <c r="F889" s="26"/>
    </row>
    <row r="890" spans="2:6" ht="12.5" x14ac:dyDescent="0.25">
      <c r="B890" s="9"/>
      <c r="C890" s="25"/>
      <c r="F890" s="26"/>
    </row>
    <row r="891" spans="2:6" ht="12.5" x14ac:dyDescent="0.25">
      <c r="B891" s="9"/>
      <c r="C891" s="25"/>
      <c r="F891" s="26"/>
    </row>
    <row r="892" spans="2:6" ht="12.5" x14ac:dyDescent="0.25">
      <c r="B892" s="9"/>
      <c r="C892" s="25"/>
      <c r="F892" s="26"/>
    </row>
    <row r="893" spans="2:6" ht="12.5" x14ac:dyDescent="0.25">
      <c r="B893" s="9"/>
      <c r="C893" s="25"/>
      <c r="F893" s="26"/>
    </row>
    <row r="894" spans="2:6" ht="12.5" x14ac:dyDescent="0.25">
      <c r="B894" s="9"/>
      <c r="C894" s="25"/>
      <c r="F894" s="26"/>
    </row>
    <row r="895" spans="2:6" ht="12.5" x14ac:dyDescent="0.25">
      <c r="B895" s="9"/>
      <c r="C895" s="25"/>
      <c r="F895" s="26"/>
    </row>
    <row r="896" spans="2:6" ht="12.5" x14ac:dyDescent="0.25">
      <c r="B896" s="9"/>
      <c r="C896" s="25"/>
      <c r="F896" s="26"/>
    </row>
    <row r="897" spans="2:6" ht="12.5" x14ac:dyDescent="0.25">
      <c r="B897" s="9"/>
      <c r="C897" s="25"/>
      <c r="F897" s="26"/>
    </row>
    <row r="898" spans="2:6" ht="12.5" x14ac:dyDescent="0.25">
      <c r="B898" s="9"/>
      <c r="C898" s="25"/>
      <c r="F898" s="26"/>
    </row>
    <row r="899" spans="2:6" ht="12.5" x14ac:dyDescent="0.25">
      <c r="B899" s="9"/>
      <c r="C899" s="25"/>
      <c r="F899" s="26"/>
    </row>
    <row r="900" spans="2:6" ht="12.5" x14ac:dyDescent="0.25">
      <c r="B900" s="9"/>
      <c r="C900" s="25"/>
      <c r="F900" s="26"/>
    </row>
    <row r="901" spans="2:6" ht="12.5" x14ac:dyDescent="0.25">
      <c r="B901" s="9"/>
      <c r="C901" s="25"/>
      <c r="F901" s="26"/>
    </row>
    <row r="902" spans="2:6" ht="12.5" x14ac:dyDescent="0.25">
      <c r="B902" s="9"/>
      <c r="C902" s="25"/>
      <c r="F902" s="26"/>
    </row>
    <row r="903" spans="2:6" ht="12.5" x14ac:dyDescent="0.25">
      <c r="B903" s="9"/>
      <c r="C903" s="25"/>
      <c r="F903" s="26"/>
    </row>
    <row r="904" spans="2:6" ht="12.5" x14ac:dyDescent="0.25">
      <c r="B904" s="9"/>
      <c r="C904" s="25"/>
      <c r="F904" s="26"/>
    </row>
    <row r="905" spans="2:6" ht="12.5" x14ac:dyDescent="0.25">
      <c r="B905" s="9"/>
      <c r="C905" s="25"/>
      <c r="F905" s="26"/>
    </row>
    <row r="906" spans="2:6" ht="12.5" x14ac:dyDescent="0.25">
      <c r="B906" s="9"/>
      <c r="C906" s="25"/>
      <c r="F906" s="26"/>
    </row>
    <row r="907" spans="2:6" ht="12.5" x14ac:dyDescent="0.25">
      <c r="B907" s="9"/>
      <c r="C907" s="25"/>
      <c r="F907" s="26"/>
    </row>
    <row r="908" spans="2:6" ht="12.5" x14ac:dyDescent="0.25">
      <c r="B908" s="9"/>
      <c r="C908" s="25"/>
      <c r="F908" s="26"/>
    </row>
    <row r="909" spans="2:6" ht="12.5" x14ac:dyDescent="0.25">
      <c r="B909" s="9"/>
      <c r="C909" s="25"/>
      <c r="F909" s="26"/>
    </row>
    <row r="910" spans="2:6" ht="12.5" x14ac:dyDescent="0.25">
      <c r="B910" s="9"/>
      <c r="C910" s="25"/>
      <c r="F910" s="26"/>
    </row>
    <row r="911" spans="2:6" ht="12.5" x14ac:dyDescent="0.25">
      <c r="B911" s="9"/>
      <c r="C911" s="25"/>
      <c r="F911" s="26"/>
    </row>
    <row r="912" spans="2:6" ht="12.5" x14ac:dyDescent="0.25">
      <c r="B912" s="9"/>
      <c r="C912" s="25"/>
      <c r="F912" s="26"/>
    </row>
    <row r="913" spans="2:6" ht="12.5" x14ac:dyDescent="0.25">
      <c r="B913" s="9"/>
      <c r="C913" s="25"/>
      <c r="F913" s="26"/>
    </row>
    <row r="914" spans="2:6" ht="12.5" x14ac:dyDescent="0.25">
      <c r="B914" s="9"/>
      <c r="C914" s="25"/>
      <c r="F914" s="26"/>
    </row>
    <row r="915" spans="2:6" ht="12.5" x14ac:dyDescent="0.25">
      <c r="B915" s="9"/>
      <c r="C915" s="25"/>
      <c r="F915" s="26"/>
    </row>
    <row r="916" spans="2:6" ht="12.5" x14ac:dyDescent="0.25">
      <c r="B916" s="9"/>
      <c r="C916" s="25"/>
      <c r="F916" s="26"/>
    </row>
    <row r="917" spans="2:6" ht="12.5" x14ac:dyDescent="0.25">
      <c r="B917" s="9"/>
      <c r="C917" s="25"/>
      <c r="F917" s="26"/>
    </row>
    <row r="918" spans="2:6" ht="12.5" x14ac:dyDescent="0.25">
      <c r="B918" s="9"/>
      <c r="C918" s="25"/>
      <c r="F918" s="26"/>
    </row>
    <row r="919" spans="2:6" ht="12.5" x14ac:dyDescent="0.25">
      <c r="B919" s="9"/>
      <c r="C919" s="25"/>
      <c r="F919" s="26"/>
    </row>
    <row r="920" spans="2:6" ht="12.5" x14ac:dyDescent="0.25">
      <c r="B920" s="9"/>
      <c r="C920" s="25"/>
      <c r="F920" s="26"/>
    </row>
    <row r="921" spans="2:6" ht="12.5" x14ac:dyDescent="0.25">
      <c r="B921" s="9"/>
      <c r="C921" s="25"/>
      <c r="F921" s="26"/>
    </row>
    <row r="922" spans="2:6" ht="12.5" x14ac:dyDescent="0.25">
      <c r="B922" s="9"/>
      <c r="C922" s="25"/>
      <c r="F922" s="26"/>
    </row>
    <row r="923" spans="2:6" ht="12.5" x14ac:dyDescent="0.25">
      <c r="B923" s="9"/>
      <c r="C923" s="25"/>
      <c r="F923" s="26"/>
    </row>
    <row r="924" spans="2:6" ht="12.5" x14ac:dyDescent="0.25">
      <c r="B924" s="9"/>
      <c r="C924" s="25"/>
      <c r="F924" s="26"/>
    </row>
    <row r="925" spans="2:6" ht="12.5" x14ac:dyDescent="0.25">
      <c r="B925" s="9"/>
      <c r="C925" s="25"/>
      <c r="F925" s="26"/>
    </row>
    <row r="926" spans="2:6" ht="12.5" x14ac:dyDescent="0.25">
      <c r="B926" s="9"/>
      <c r="C926" s="25"/>
      <c r="F926" s="26"/>
    </row>
    <row r="927" spans="2:6" ht="12.5" x14ac:dyDescent="0.25">
      <c r="B927" s="9"/>
      <c r="C927" s="25"/>
      <c r="F927" s="26"/>
    </row>
    <row r="928" spans="2:6" ht="12.5" x14ac:dyDescent="0.25">
      <c r="B928" s="9"/>
      <c r="C928" s="25"/>
      <c r="F928" s="26"/>
    </row>
    <row r="929" spans="2:6" ht="12.5" x14ac:dyDescent="0.25">
      <c r="B929" s="9"/>
      <c r="C929" s="25"/>
      <c r="F929" s="26"/>
    </row>
    <row r="930" spans="2:6" ht="12.5" x14ac:dyDescent="0.25">
      <c r="B930" s="9"/>
      <c r="C930" s="25"/>
      <c r="F930" s="26"/>
    </row>
    <row r="931" spans="2:6" ht="12.5" x14ac:dyDescent="0.25">
      <c r="B931" s="9"/>
      <c r="C931" s="25"/>
      <c r="F931" s="26"/>
    </row>
    <row r="932" spans="2:6" ht="12.5" x14ac:dyDescent="0.25">
      <c r="B932" s="9"/>
      <c r="C932" s="25"/>
      <c r="F932" s="26"/>
    </row>
    <row r="933" spans="2:6" ht="12.5" x14ac:dyDescent="0.25">
      <c r="B933" s="9"/>
      <c r="C933" s="25"/>
      <c r="F933" s="26"/>
    </row>
    <row r="934" spans="2:6" ht="12.5" x14ac:dyDescent="0.25">
      <c r="B934" s="9"/>
      <c r="C934" s="25"/>
      <c r="F934" s="26"/>
    </row>
    <row r="935" spans="2:6" ht="12.5" x14ac:dyDescent="0.25">
      <c r="B935" s="9"/>
      <c r="C935" s="25"/>
      <c r="F935" s="26"/>
    </row>
    <row r="936" spans="2:6" ht="12.5" x14ac:dyDescent="0.25">
      <c r="B936" s="9"/>
      <c r="C936" s="25"/>
      <c r="F936" s="26"/>
    </row>
    <row r="937" spans="2:6" ht="12.5" x14ac:dyDescent="0.25">
      <c r="B937" s="9"/>
      <c r="C937" s="25"/>
      <c r="F937" s="26"/>
    </row>
    <row r="938" spans="2:6" ht="12.5" x14ac:dyDescent="0.25">
      <c r="B938" s="9"/>
      <c r="C938" s="25"/>
      <c r="F938" s="26"/>
    </row>
    <row r="939" spans="2:6" ht="12.5" x14ac:dyDescent="0.25">
      <c r="B939" s="9"/>
      <c r="C939" s="25"/>
      <c r="F939" s="26"/>
    </row>
    <row r="940" spans="2:6" ht="12.5" x14ac:dyDescent="0.25">
      <c r="B940" s="9"/>
      <c r="C940" s="25"/>
      <c r="F940" s="26"/>
    </row>
    <row r="941" spans="2:6" ht="12.5" x14ac:dyDescent="0.25">
      <c r="B941" s="9"/>
      <c r="C941" s="25"/>
      <c r="F941" s="26"/>
    </row>
    <row r="942" spans="2:6" ht="12.5" x14ac:dyDescent="0.25">
      <c r="B942" s="9"/>
      <c r="C942" s="25"/>
      <c r="F942" s="26"/>
    </row>
    <row r="943" spans="2:6" ht="12.5" x14ac:dyDescent="0.25">
      <c r="B943" s="9"/>
      <c r="C943" s="25"/>
      <c r="F943" s="26"/>
    </row>
    <row r="944" spans="2:6" ht="12.5" x14ac:dyDescent="0.25">
      <c r="B944" s="9"/>
      <c r="C944" s="25"/>
      <c r="F944" s="26"/>
    </row>
    <row r="945" spans="2:6" ht="12.5" x14ac:dyDescent="0.25">
      <c r="B945" s="9"/>
      <c r="C945" s="25"/>
      <c r="F945" s="26"/>
    </row>
    <row r="946" spans="2:6" ht="12.5" x14ac:dyDescent="0.25">
      <c r="B946" s="9"/>
      <c r="C946" s="25"/>
      <c r="F946" s="26"/>
    </row>
    <row r="947" spans="2:6" ht="12.5" x14ac:dyDescent="0.25">
      <c r="B947" s="9"/>
      <c r="C947" s="25"/>
      <c r="F947" s="26"/>
    </row>
    <row r="948" spans="2:6" ht="12.5" x14ac:dyDescent="0.25">
      <c r="B948" s="9"/>
      <c r="C948" s="25"/>
      <c r="F948" s="26"/>
    </row>
    <row r="949" spans="2:6" ht="12.5" x14ac:dyDescent="0.25">
      <c r="B949" s="9"/>
      <c r="C949" s="25"/>
      <c r="F949" s="26"/>
    </row>
    <row r="950" spans="2:6" ht="12.5" x14ac:dyDescent="0.25">
      <c r="B950" s="9"/>
      <c r="C950" s="25"/>
      <c r="F950" s="26"/>
    </row>
    <row r="951" spans="2:6" ht="12.5" x14ac:dyDescent="0.25">
      <c r="B951" s="9"/>
      <c r="C951" s="25"/>
      <c r="F951" s="26"/>
    </row>
    <row r="952" spans="2:6" ht="12.5" x14ac:dyDescent="0.25">
      <c r="B952" s="9"/>
      <c r="C952" s="25"/>
      <c r="F952" s="26"/>
    </row>
    <row r="953" spans="2:6" ht="12.5" x14ac:dyDescent="0.25">
      <c r="B953" s="9"/>
      <c r="C953" s="25"/>
      <c r="F953" s="26"/>
    </row>
    <row r="954" spans="2:6" ht="12.5" x14ac:dyDescent="0.25">
      <c r="B954" s="9"/>
      <c r="C954" s="25"/>
      <c r="F954" s="26"/>
    </row>
    <row r="955" spans="2:6" ht="12.5" x14ac:dyDescent="0.25">
      <c r="B955" s="9"/>
      <c r="C955" s="25"/>
      <c r="F955" s="26"/>
    </row>
    <row r="956" spans="2:6" ht="12.5" x14ac:dyDescent="0.25">
      <c r="B956" s="9"/>
      <c r="C956" s="25"/>
      <c r="F956" s="26"/>
    </row>
    <row r="957" spans="2:6" ht="12.5" x14ac:dyDescent="0.25">
      <c r="B957" s="9"/>
      <c r="C957" s="25"/>
      <c r="F957" s="26"/>
    </row>
    <row r="958" spans="2:6" ht="12.5" x14ac:dyDescent="0.25">
      <c r="B958" s="9"/>
      <c r="C958" s="25"/>
      <c r="F958" s="26"/>
    </row>
    <row r="959" spans="2:6" ht="12.5" x14ac:dyDescent="0.25">
      <c r="B959" s="9"/>
      <c r="C959" s="25"/>
      <c r="F959" s="26"/>
    </row>
    <row r="960" spans="2:6" ht="12.5" x14ac:dyDescent="0.25">
      <c r="B960" s="9"/>
      <c r="C960" s="25"/>
      <c r="F960" s="26"/>
    </row>
    <row r="961" spans="2:6" ht="12.5" x14ac:dyDescent="0.25">
      <c r="B961" s="9"/>
      <c r="C961" s="25"/>
      <c r="F961" s="26"/>
    </row>
    <row r="962" spans="2:6" ht="12.5" x14ac:dyDescent="0.25">
      <c r="B962" s="9"/>
      <c r="C962" s="25"/>
      <c r="F962" s="26"/>
    </row>
    <row r="963" spans="2:6" ht="12.5" x14ac:dyDescent="0.25">
      <c r="B963" s="9"/>
      <c r="C963" s="25"/>
      <c r="F963" s="26"/>
    </row>
    <row r="964" spans="2:6" ht="12.5" x14ac:dyDescent="0.25">
      <c r="B964" s="9"/>
      <c r="C964" s="25"/>
      <c r="F964" s="26"/>
    </row>
    <row r="965" spans="2:6" ht="12.5" x14ac:dyDescent="0.25">
      <c r="B965" s="9"/>
      <c r="C965" s="25"/>
      <c r="F965" s="26"/>
    </row>
    <row r="966" spans="2:6" ht="12.5" x14ac:dyDescent="0.25">
      <c r="B966" s="9"/>
      <c r="C966" s="25"/>
      <c r="F966" s="26"/>
    </row>
    <row r="967" spans="2:6" ht="12.5" x14ac:dyDescent="0.25">
      <c r="B967" s="9"/>
      <c r="C967" s="25"/>
      <c r="F967" s="26"/>
    </row>
    <row r="968" spans="2:6" ht="12.5" x14ac:dyDescent="0.25">
      <c r="B968" s="9"/>
      <c r="C968" s="25"/>
      <c r="F968" s="26"/>
    </row>
    <row r="969" spans="2:6" ht="12.5" x14ac:dyDescent="0.25">
      <c r="B969" s="9"/>
      <c r="C969" s="25"/>
      <c r="F969" s="26"/>
    </row>
    <row r="970" spans="2:6" ht="12.5" x14ac:dyDescent="0.25">
      <c r="B970" s="9"/>
      <c r="C970" s="25"/>
      <c r="F970" s="26"/>
    </row>
    <row r="971" spans="2:6" ht="12.5" x14ac:dyDescent="0.25">
      <c r="B971" s="9"/>
      <c r="C971" s="25"/>
      <c r="F971" s="26"/>
    </row>
    <row r="972" spans="2:6" ht="12.5" x14ac:dyDescent="0.25">
      <c r="B972" s="9"/>
      <c r="C972" s="25"/>
      <c r="F972" s="26"/>
    </row>
    <row r="973" spans="2:6" ht="12.5" x14ac:dyDescent="0.25">
      <c r="B973" s="9"/>
      <c r="C973" s="25"/>
      <c r="F973" s="26"/>
    </row>
    <row r="974" spans="2:6" ht="12.5" x14ac:dyDescent="0.25">
      <c r="B974" s="9"/>
      <c r="C974" s="25"/>
      <c r="F974" s="26"/>
    </row>
    <row r="975" spans="2:6" ht="12.5" x14ac:dyDescent="0.25">
      <c r="B975" s="9"/>
      <c r="C975" s="25"/>
      <c r="F975" s="26"/>
    </row>
    <row r="976" spans="2:6" ht="12.5" x14ac:dyDescent="0.25">
      <c r="B976" s="9"/>
      <c r="C976" s="25"/>
      <c r="F976" s="26"/>
    </row>
    <row r="977" spans="2:6" ht="12.5" x14ac:dyDescent="0.25">
      <c r="B977" s="9"/>
      <c r="C977" s="25"/>
      <c r="F977" s="26"/>
    </row>
    <row r="978" spans="2:6" ht="12.5" x14ac:dyDescent="0.25">
      <c r="B978" s="9"/>
      <c r="C978" s="25"/>
      <c r="F978" s="26"/>
    </row>
    <row r="979" spans="2:6" ht="12.5" x14ac:dyDescent="0.25">
      <c r="B979" s="9"/>
      <c r="C979" s="25"/>
      <c r="F979" s="26"/>
    </row>
    <row r="980" spans="2:6" ht="12.5" x14ac:dyDescent="0.25">
      <c r="B980" s="9"/>
      <c r="C980" s="25"/>
      <c r="F980" s="26"/>
    </row>
    <row r="981" spans="2:6" ht="12.5" x14ac:dyDescent="0.25">
      <c r="B981" s="9"/>
      <c r="C981" s="25"/>
      <c r="F981" s="26"/>
    </row>
    <row r="982" spans="2:6" ht="12.5" x14ac:dyDescent="0.25">
      <c r="B982" s="9"/>
      <c r="C982" s="25"/>
      <c r="F982" s="26"/>
    </row>
    <row r="983" spans="2:6" ht="12.5" x14ac:dyDescent="0.25">
      <c r="B983" s="9"/>
      <c r="C983" s="25"/>
      <c r="F983" s="26"/>
    </row>
    <row r="984" spans="2:6" ht="12.5" x14ac:dyDescent="0.25">
      <c r="B984" s="9"/>
      <c r="C984" s="25"/>
      <c r="F984" s="26"/>
    </row>
    <row r="985" spans="2:6" ht="12.5" x14ac:dyDescent="0.25">
      <c r="B985" s="9"/>
      <c r="C985" s="25"/>
      <c r="F985" s="26"/>
    </row>
    <row r="986" spans="2:6" ht="12.5" x14ac:dyDescent="0.25">
      <c r="B986" s="9"/>
      <c r="C986" s="25"/>
      <c r="F986" s="26"/>
    </row>
    <row r="987" spans="2:6" ht="12.5" x14ac:dyDescent="0.25">
      <c r="B987" s="9"/>
      <c r="C987" s="25"/>
      <c r="F987" s="26"/>
    </row>
    <row r="988" spans="2:6" ht="12.5" x14ac:dyDescent="0.25">
      <c r="B988" s="9"/>
      <c r="C988" s="25"/>
      <c r="F988" s="26"/>
    </row>
    <row r="989" spans="2:6" ht="12.5" x14ac:dyDescent="0.25">
      <c r="B989" s="9"/>
      <c r="C989" s="25"/>
      <c r="F989" s="26"/>
    </row>
    <row r="990" spans="2:6" ht="12.5" x14ac:dyDescent="0.25">
      <c r="B990" s="9"/>
      <c r="C990" s="25"/>
      <c r="F990" s="26"/>
    </row>
    <row r="991" spans="2:6" ht="12.5" x14ac:dyDescent="0.25">
      <c r="B991" s="9"/>
      <c r="C991" s="25"/>
      <c r="F991" s="26"/>
    </row>
    <row r="992" spans="2:6" ht="12.5" x14ac:dyDescent="0.25">
      <c r="B992" s="9"/>
      <c r="C992" s="25"/>
      <c r="F992" s="26"/>
    </row>
    <row r="993" spans="2:6" ht="12.5" x14ac:dyDescent="0.25">
      <c r="B993" s="9"/>
      <c r="C993" s="25"/>
      <c r="F993" s="26"/>
    </row>
    <row r="994" spans="2:6" ht="12.5" x14ac:dyDescent="0.25">
      <c r="B994" s="9"/>
      <c r="C994" s="25"/>
      <c r="F994" s="26"/>
    </row>
    <row r="995" spans="2:6" ht="12.5" x14ac:dyDescent="0.25">
      <c r="B995" s="9"/>
      <c r="C995" s="25"/>
      <c r="F995" s="26"/>
    </row>
    <row r="996" spans="2:6" ht="12.5" x14ac:dyDescent="0.25">
      <c r="B996" s="9"/>
      <c r="C996" s="25"/>
      <c r="F996" s="26"/>
    </row>
    <row r="997" spans="2:6" ht="12.5" x14ac:dyDescent="0.25">
      <c r="B997" s="9"/>
      <c r="C997" s="25"/>
      <c r="F997" s="26"/>
    </row>
    <row r="998" spans="2:6" ht="12.5" x14ac:dyDescent="0.25">
      <c r="B998" s="9"/>
      <c r="C998" s="25"/>
      <c r="F998" s="26"/>
    </row>
    <row r="999" spans="2:6" ht="12.5" x14ac:dyDescent="0.25">
      <c r="B999" s="9"/>
      <c r="C999" s="25"/>
      <c r="F999" s="26"/>
    </row>
    <row r="1000" spans="2:6" ht="12.5" x14ac:dyDescent="0.25">
      <c r="B1000" s="9"/>
      <c r="C1000" s="25"/>
      <c r="F1000" s="26"/>
    </row>
  </sheetData>
  <hyperlinks>
    <hyperlink ref="A2" r:id="rId1" display="https://docs.google.com/forms/d/e/1FAIpQLSdzgURebn1_Fzld39UJAGSAKcebWonnIVaPSfFuAilCmX95ig/viewform?usp=sf_link" xr:uid="{00000000-0004-0000-0100-000000000000}"/>
    <hyperlink ref="A3" r:id="rId2" display="https://drive.google.com/open?id=1pFSA-yEDixl5ZKtQmEUOuW_vdDFLdzDbhjP5Cjrkajo" xr:uid="{00000000-0004-0000-0100-000001000000}"/>
    <hyperlink ref="E5" r:id="rId3" display="https://docs.google.com/spreadsheets/d/1xiINlF9P00tO-5lGKi3v4S413iujYCm5QJoKUG19a_Y/edit?disco=AAAAJOCzR0g" xr:uid="{00000000-0004-0000-0100-000002000000}"/>
    <hyperlink ref="F5" r:id="rId4" display="https://www.annualreviews.org/page/about/privacy" xr:uid="{00000000-0004-0000-0100-000003000000}"/>
    <hyperlink ref="E6" r:id="rId5" display="https://docs.google.com/spreadsheets/d/1xiINlF9P00tO-5lGKi3v4S413iujYCm5QJoKUG19a_Y/edit?disco=AAAAJOCzR0w" xr:uid="{00000000-0004-0000-0100-000004000000}"/>
    <hyperlink ref="F6" r:id="rId6" display="https://www.jove.com/about/policies/" xr:uid="{00000000-0004-0000-0100-000005000000}"/>
    <hyperlink ref="E7" r:id="rId7" display="https://docs.google.com/spreadsheets/d/1xiINlF9P00tO-5lGKi3v4S413iujYCm5QJoKUG19a_Y/edit?disco=AAAAJOCzR0o" xr:uid="{00000000-0004-0000-0100-000006000000}"/>
    <hyperlink ref="F7" r:id="rId8" display="https://docuseek2.wiki.zoho.com/Privacy-Statement.html" xr:uid="{00000000-0004-0000-0100-000007000000}"/>
    <hyperlink ref="E8" r:id="rId9" display="https://docs.google.com/spreadsheets/d/1xiINlF9P00tO-5lGKi3v4S413iujYCm5QJoKUG19a_Y/edit?disco=AAAAJOCzR1c" xr:uid="{00000000-0004-0000-0100-000008000000}"/>
    <hyperlink ref="F8" r:id="rId10" display="https://bioone.org/privacy-policy" xr:uid="{00000000-0004-0000-0100-000009000000}"/>
    <hyperlink ref="E9" r:id="rId11" display="https://docs.google.com/spreadsheets/d/1xiINlF9P00tO-5lGKi3v4S413iujYCm5QJoKUG19a_Y/edit?disco=AAAAJOCzR1g" xr:uid="{00000000-0004-0000-0100-00000A000000}"/>
    <hyperlink ref="F9" r:id="rId12" display="https://clarivate.com/legal/privacy-policy/" xr:uid="{00000000-0004-0000-0100-00000B000000}"/>
    <hyperlink ref="E10" r:id="rId13" display="https://docs.google.com/spreadsheets/d/1xiINlF9P00tO-5lGKi3v4S413iujYCm5QJoKUG19a_Y/edit?disco=AAAAJOCzR1k" xr:uid="{00000000-0004-0000-0100-00000C000000}"/>
    <hyperlink ref="F10" r:id="rId14" display="https://privacy.elsevier.com/" xr:uid="{00000000-0004-0000-0100-00000D000000}"/>
    <hyperlink ref="E11" r:id="rId15" display="https://docs.google.com/spreadsheets/d/1xiINlF9P00tO-5lGKi3v4S413iujYCm5QJoKUG19a_Y/edit?disco=AAAAJOCzR1E" xr:uid="{00000000-0004-0000-0100-00000E000000}"/>
    <hyperlink ref="F11" r:id="rId16" display="https://www.proquest.com/about/privacy-statement.html" xr:uid="{00000000-0004-0000-0100-00000F000000}"/>
    <hyperlink ref="E12" r:id="rId17" display="https://docs.google.com/spreadsheets/d/1xiINlF9P00tO-5lGKi3v4S413iujYCm5QJoKUG19a_Y/edit?disco=AAAAJOCzR2M" xr:uid="{00000000-0004-0000-0100-000010000000}"/>
    <hyperlink ref="F12" r:id="rId18" display="https://www.wiley-vch.de/en/info/contact-masthead" xr:uid="{00000000-0004-0000-0100-000011000000}"/>
    <hyperlink ref="E13" r:id="rId19" display="https://docs.google.com/spreadsheets/d/1xiINlF9P00tO-5lGKi3v4S413iujYCm5QJoKUG19a_Y/edit?disco=AAAAJOCzR2I" xr:uid="{00000000-0004-0000-0100-000012000000}"/>
    <hyperlink ref="F13" r:id="rId20" display="https://www.softchalkcloud.com/privacy" xr:uid="{00000000-0004-0000-0100-000013000000}"/>
    <hyperlink ref="E14" r:id="rId21" display="https://docs.google.com/spreadsheets/d/1xiINlF9P00tO-5lGKi3v4S413iujYCm5QJoKUG19a_Y/edit?disco=AAAAJOCzR18" xr:uid="{00000000-0004-0000-0100-000014000000}"/>
    <hyperlink ref="F14" r:id="rId22" display="https://www.macmillanihe.com/page/privacy-policy/" xr:uid="{00000000-0004-0000-0100-000015000000}"/>
    <hyperlink ref="E15" r:id="rId23" display="https://docs.google.com/spreadsheets/d/1xiINlF9P00tO-5lGKi3v4S413iujYCm5QJoKUG19a_Y/edit?disco=AAAAJOCzR10" xr:uid="{00000000-0004-0000-0100-000016000000}"/>
    <hyperlink ref="F17" r:id="rId24" display="https://www.ebsco.com/gdpr" xr:uid="{00000000-0004-0000-0100-000017000000}"/>
    <hyperlink ref="E18" r:id="rId25" display="https://docs.google.com/spreadsheets/d/1xiINlF9P00tO-5lGKi3v4S413iujYCm5QJoKUG19a_Y/edit?disco=AAAAJOCzR0s" xr:uid="{00000000-0004-0000-0100-000018000000}"/>
    <hyperlink ref="E19" r:id="rId26" display="https://docs.google.com/spreadsheets/d/1xiINlF9P00tO-5lGKi3v4S413iujYCm5QJoKUG19a_Y/edit?disco=AAAAJOCzR1o" xr:uid="{00000000-0004-0000-0100-000019000000}"/>
    <hyperlink ref="F19" r:id="rId27" display="https://www.springernature.com/la/legal/privacy-statement/11033522" xr:uid="{00000000-0004-0000-0100-00001A000000}"/>
    <hyperlink ref="E20" r:id="rId28" display="https://docs.google.com/spreadsheets/d/1xiINlF9P00tO-5lGKi3v4S413iujYCm5QJoKUG19a_Y/edit?disco=AAAAJOCzR2A" xr:uid="{00000000-0004-0000-0100-00001B000000}"/>
    <hyperlink ref="E21" r:id="rId29" display="https://docs.google.com/spreadsheets/d/1xiINlF9P00tO-5lGKi3v4S413iujYCm5QJoKUG19a_Y/edit?disco=AAAAJOCzR00" xr:uid="{00000000-0004-0000-0100-00001C000000}"/>
    <hyperlink ref="E22" r:id="rId30" display="https://docs.google.com/spreadsheets/d/1xiINlF9P00tO-5lGKi3v4S413iujYCm5QJoKUG19a_Y/edit?disco=AAAAJOCzR1Q" xr:uid="{00000000-0004-0000-0100-00001D000000}"/>
    <hyperlink ref="E23" r:id="rId31" display="https://docs.google.com/spreadsheets/d/1xiINlF9P00tO-5lGKi3v4S413iujYCm5QJoKUG19a_Y/edit?disco=AAAAJOCzRwM" xr:uid="{00000000-0004-0000-0100-00001E000000}"/>
    <hyperlink ref="E24" r:id="rId32" display="https://docs.google.com/spreadsheets/d/1xiINlF9P00tO-5lGKi3v4S413iujYCm5QJoKUG19a_Y/edit?disco=AAAAJOCzR1I" xr:uid="{00000000-0004-0000-0100-00001F000000}"/>
    <hyperlink ref="E25" r:id="rId33" display="https://docs.google.com/spreadsheets/d/1xiINlF9P00tO-5lGKi3v4S413iujYCm5QJoKUG19a_Y/edit?disco=AAAAJOCzR0k" xr:uid="{00000000-0004-0000-0100-000020000000}"/>
    <hyperlink ref="F26" r:id="rId34" display="https://www.dukeupress.edu/Legal/Privacy" xr:uid="{00000000-0004-0000-0100-000021000000}"/>
    <hyperlink ref="E27" r:id="rId35" display="https://docs.google.com/spreadsheets/d/1xiINlF9P00tO-5lGKi3v4S413iujYCm5QJoKUG19a_Y/edit?disco=AAAAJOCzR1M" xr:uid="{00000000-0004-0000-0100-000022000000}"/>
    <hyperlink ref="E28" r:id="rId36" display="https://docs.google.com/spreadsheets/d/1xiINlF9P00tO-5lGKi3v4S413iujYCm5QJoKUG19a_Y/edit?disco=AAAAJOCzR04" xr:uid="{00000000-0004-0000-0100-000023000000}"/>
    <hyperlink ref="E29" r:id="rId37" display="https://docs.google.com/spreadsheets/d/1xiINlF9P00tO-5lGKi3v4S413iujYCm5QJoKUG19a_Y/edit?disco=AAAAJOCzR04" xr:uid="{00000000-0004-0000-0100-000024000000}"/>
    <hyperlink ref="E30" r:id="rId38" display="https://docs.google.com/spreadsheets/d/1xiINlF9P00tO-5lGKi3v4S413iujYCm5QJoKUG19a_Y/edit?disco=AAAAJOCzR1A" xr:uid="{00000000-0004-0000-0100-000025000000}"/>
    <hyperlink ref="E31" r:id="rId39" display="https://docs.google.com/spreadsheets/d/1xiINlF9P00tO-5lGKi3v4S413iujYCm5QJoKUG19a_Y/edit?disco=AAAAJOCzR1U" xr:uid="{00000000-0004-0000-0100-000026000000}"/>
    <hyperlink ref="F31" r:id="rId40" display="https://www.wiley.com/en-gb/privacy" xr:uid="{00000000-0004-0000-0100-000027000000}"/>
    <hyperlink ref="E32" r:id="rId41" display="https://docs.google.com/spreadsheets/d/1xiINlF9P00tO-5lGKi3v4S413iujYCm5QJoKUG19a_Y/edit?disco=AAAAJOCzR2Y" xr:uid="{00000000-0004-0000-0100-000028000000}"/>
    <hyperlink ref="F32" r:id="rId42" display="https://jamanetwork.com/pages/privacy-policy" xr:uid="{00000000-0004-0000-0100-000029000000}"/>
    <hyperlink ref="E33" r:id="rId43" display="https://docs.google.com/spreadsheets/d/1xiINlF9P00tO-5lGKi3v4S413iujYCm5QJoKUG19a_Y/edit?disco=AAAAJOCzR2c" xr:uid="{00000000-0004-0000-0100-00002A000000}"/>
    <hyperlink ref="F33" r:id="rId44" display="https://wolterskluwer.com/privacy-cookies.html" xr:uid="{00000000-0004-0000-0100-00002B000000}"/>
    <hyperlink ref="E34" r:id="rId45" display="https://docs.google.com/spreadsheets/d/1xiINlF9P00tO-5lGKi3v4S413iujYCm5QJoKUG19a_Y/edit?disco=AAAAJOCzR2g" xr:uid="{00000000-0004-0000-0100-00002C000000}"/>
    <hyperlink ref="F34" r:id="rId46" display="https://www.ithaka.org/privacypolicy" xr:uid="{00000000-0004-0000-0100-00002D000000}"/>
    <hyperlink ref="E35" r:id="rId47" display="https://docs.google.com/spreadsheets/d/1xiINlF9P00tO-5lGKi3v4S413iujYCm5QJoKUG19a_Y/edit?disco=AAAAJOCzR2k" xr:uid="{00000000-0004-0000-0100-00002E000000}"/>
    <hyperlink ref="F35" r:id="rId48" display="https://www.emeraldgrouppublishing.com/about/policies/privacy.htm" xr:uid="{00000000-0004-0000-0100-00002F000000}"/>
    <hyperlink ref="E36" r:id="rId49" display="https://docs.google.com/spreadsheets/d/1xiINlF9P00tO-5lGKi3v4S413iujYCm5QJoKUG19a_Y/edit?disco=AAAAJOCzR2o" xr:uid="{00000000-0004-0000-0100-000030000000}"/>
    <hyperlink ref="F36" r:id="rId50" display="https://informa.com/privacy-policy/" xr:uid="{00000000-0004-0000-0100-000031000000}"/>
    <hyperlink ref="E38" r:id="rId51" display="https://docs.google.com/spreadsheets/d/1xiINlF9P00tO-5lGKi3v4S413iujYCm5QJoKUG19a_Y/edit?disco=AAAAJOWMoAE" xr:uid="{00000000-0004-0000-0100-000032000000}"/>
    <hyperlink ref="F38" r:id="rId52" display="https://www.karger.com/Info/PrivacyPolicy" xr:uid="{00000000-0004-0000-0100-000033000000}"/>
    <hyperlink ref="E39" r:id="rId53" display="https://docs.google.com/spreadsheets/d/1xiINlF9P00tO-5lGKi3v4S413iujYCm5QJoKUG19a_Y/edit?disco=AAAAJOWMoAI" xr:uid="{00000000-0004-0000-0100-000034000000}"/>
    <hyperlink ref="F39" r:id="rId54" display="https://help.heinonline.org/kb/what-is-heinonlines-privacy-policy/" xr:uid="{00000000-0004-0000-0100-000035000000}"/>
    <hyperlink ref="E40" r:id="rId55" display="https://docs.google.com/spreadsheets/d/1xiINlF9P00tO-5lGKi3v4S413iujYCm5QJoKUG19a_Y/edit?disco=AAAAJOWMoAM" xr:uid="{00000000-0004-0000-0100-000036000000}"/>
    <hyperlink ref="F40" r:id="rId56" display="https://privacy.liebertpub.com/" xr:uid="{00000000-0004-0000-0100-000037000000}"/>
    <hyperlink ref="E41" r:id="rId57" display="https://docs.google.com/spreadsheets/d/1xiINlF9P00tO-5lGKi3v4S413iujYCm5QJoKUG19a_Y/edit?disco=AAAAJOWMoAQ" xr:uid="{00000000-0004-0000-0100-000038000000}"/>
    <hyperlink ref="F41" r:id="rId58" display="https://www.bloomsbury.com/us/privacy-policy/" xr:uid="{00000000-0004-0000-0100-000039000000}"/>
    <hyperlink ref="E42" r:id="rId59" display="https://docs.google.com/spreadsheets/d/1xiINlF9P00tO-5lGKi3v4S413iujYCm5QJoKUG19a_Y/edit?disco=AAAAJOWMoDg" xr:uid="{00000000-0004-0000-0100-00003A000000}"/>
    <hyperlink ref="F42" r:id="rId60" display="https://www.dimensions.ai/privacy/" xr:uid="{00000000-0004-0000-0100-00003B000000}"/>
    <hyperlink ref="E43" r:id="rId61" display="https://docs.google.com/spreadsheets/d/1xiINlF9P00tO-5lGKi3v4S413iujYCm5QJoKUG19a_Y/edit?disco=AAAAJOWMoDk" xr:uid="{00000000-0004-0000-0100-00003C000000}"/>
    <hyperlink ref="E44" r:id="rId62" display="https://docs.google.com/spreadsheets/d/1xiINlF9P00tO-5lGKi3v4S413iujYCm5QJoKUG19a_Y/edit?disco=AAAAJOWMoDo" xr:uid="{00000000-0004-0000-0100-00003D000000}"/>
    <hyperlink ref="F44" r:id="rId63" display="https://www.jle.com/en/infos_legales" xr:uid="{00000000-0004-0000-0100-00003E000000}"/>
    <hyperlink ref="E45" r:id="rId64" display="https://docs.google.com/spreadsheets/d/1xiINlF9P00tO-5lGKi3v4S413iujYCm5QJoKUG19a_Y/edit?disco=AAAAJOWMpOs" xr:uid="{00000000-0004-0000-0100-00003F000000}"/>
    <hyperlink ref="F45" r:id="rId65" display="https://www.ebsco.com/company/privacy-policy" xr:uid="{00000000-0004-0000-0100-000040000000}"/>
    <hyperlink ref="E46" r:id="rId66" display="https://docs.google.com/spreadsheets/d/1xiINlF9P00tO-5lGKi3v4S413iujYCm5QJoKUG19a_Y/edit?disco=AAAAJOWMoDw" xr:uid="{00000000-0004-0000-0100-000041000000}"/>
    <hyperlink ref="F46" r:id="rId67" display="https://www.ucpress.edu/about/privacy-policy" xr:uid="{00000000-0004-0000-0100-000042000000}"/>
    <hyperlink ref="E47" r:id="rId68" display="https://docs.google.com/spreadsheets/d/1xiINlF9P00tO-5lGKi3v4S413iujYCm5QJoKUG19a_Y/edit?disco=AAAAJOWMoD0" xr:uid="{00000000-0004-0000-0100-000043000000}"/>
    <hyperlink ref="F47" r:id="rId69" display="https://www.nejmgroup.org/legal/privacy-policy.htm?query=footer" xr:uid="{00000000-0004-0000-0100-000044000000}"/>
    <hyperlink ref="E48" r:id="rId70" display="https://docs.google.com/spreadsheets/d/1xiINlF9P00tO-5lGKi3v4S413iujYCm5QJoKUG19a_Y/edit?disco=AAAAJOWMoEs" xr:uid="{00000000-0004-0000-0100-000045000000}"/>
    <hyperlink ref="F48" r:id="rId71" display="https://www.ieee.org/about/help/security_privacy.html" xr:uid="{00000000-0004-0000-0100-000046000000}"/>
    <hyperlink ref="E49" r:id="rId72" display="https://docs.google.com/spreadsheets/d/1xiINlF9P00tO-5lGKi3v4S413iujYCm5QJoKUG19a_Y/edit?disco=AAAAJOWMoEw" xr:uid="{00000000-0004-0000-0100-000047000000}"/>
    <hyperlink ref="F49" r:id="rId73" display="https://www.ebsco.com/company/privacy-policy" xr:uid="{00000000-0004-0000-0100-000048000000}"/>
    <hyperlink ref="F50" r:id="rId74" display="https://www.rsc.org/news-events/articles/2018/jan/gdpr-information/" xr:uid="{00000000-0004-0000-0100-000049000000}"/>
    <hyperlink ref="E51" r:id="rId75" display="https://docs.google.com/spreadsheets/d/1xiINlF9P00tO-5lGKi3v4S413iujYCm5QJoKUG19a_Y/edit?disco=AAAAGV1qUV0" xr:uid="{00000000-0004-0000-0100-00004A000000}"/>
    <hyperlink ref="F51" r:id="rId76" display="https://global.oup.com/booksites/content/9780198846864/" xr:uid="{00000000-0004-0000-0100-00004B000000}"/>
    <hyperlink ref="E52" r:id="rId77" display="https://docs.google.com/spreadsheets/d/1xiINlF9P00tO-5lGKi3v4S413iujYCm5QJoKUG19a_Y/edit?disco=AAAAGV1qUV4" xr:uid="{00000000-0004-0000-0100-00004C000000}"/>
    <hyperlink ref="F52" r:id="rId78" display="https://www.accessmedicinenetwork.com/pages/privacy-policy-mgh" xr:uid="{00000000-0004-0000-0100-00004D000000}"/>
    <hyperlink ref="E53" r:id="rId79" display="https://docs.google.com/spreadsheets/d/1xiINlF9P00tO-5lGKi3v4S413iujYCm5QJoKUG19a_Y/edit?disco=AAAAJPpqheU" xr:uid="{00000000-0004-0000-0100-00004E000000}"/>
    <hyperlink ref="E54" r:id="rId80" display="https://docs.google.com/spreadsheets/d/1xiINlF9P00tO-5lGKi3v4S413iujYCm5QJoKUG19a_Y/edit?disco=AAAAGV1qUWI" xr:uid="{00000000-0004-0000-0100-00004F000000}"/>
    <hyperlink ref="E55" r:id="rId81" display="https://docs.google.com/spreadsheets/d/1xiINlF9P00tO-5lGKi3v4S413iujYCm5QJoKUG19a_Y/edit?disco=AAAAGV1qUWA" xr:uid="{00000000-0004-0000-0100-000050000000}"/>
    <hyperlink ref="E56" r:id="rId82" display="https://docs.google.com/spreadsheets/d/1xiINlF9P00tO-5lGKi3v4S413iujYCm5QJoKUG19a_Y/edit?disco=AAAAGV1qUV8" xr:uid="{00000000-0004-0000-0100-000051000000}"/>
    <hyperlink ref="B57" r:id="rId83" display="https://archive.org/details/nationalemergencylibrary" xr:uid="{00000000-0004-0000-0100-000052000000}"/>
    <hyperlink ref="E57" r:id="rId84" display="https://docs.google.com/spreadsheets/d/1xiINlF9P00tO-5lGKi3v4S413iujYCm5QJoKUG19a_Y/edit?disco=AAAAJPpqkPM" xr:uid="{00000000-0004-0000-0100-000053000000}"/>
    <hyperlink ref="E58" r:id="rId85" display="https://docs.google.com/spreadsheets/d/1xiINlF9P00tO-5lGKi3v4S413iujYCm5QJoKUG19a_Y/edit?disco=AAAAJPvwfg8" xr:uid="{00000000-0004-0000-0100-000054000000}"/>
    <hyperlink ref="E59" r:id="rId86" display="https://docs.google.com/spreadsheets/d/1xiINlF9P00tO-5lGKi3v4S413iujYCm5QJoKUG19a_Y/edit?disco=AAAAJPpqkoU" xr:uid="{00000000-0004-0000-0100-000055000000}"/>
    <hyperlink ref="F59" r:id="rId87" display="https://royalsociety.org/about-us/terms-conditions-policies/cookies/" xr:uid="{00000000-0004-0000-0100-000056000000}"/>
    <hyperlink ref="E61" r:id="rId88" display="https://docs.google.com/spreadsheets/d/1xiINlF9P00tO-5lGKi3v4S413iujYCm5QJoKUG19a_Y/edit?disco=AAAAJPpqkp4" xr:uid="{00000000-0004-0000-0100-000057000000}"/>
    <hyperlink ref="E62" r:id="rId89" display="https://docs.google.com/spreadsheets/d/1xiINlF9P00tO-5lGKi3v4S413iujYCm5QJoKUG19a_Y/edit?disco=AAAAJPpqksk" xr:uid="{00000000-0004-0000-0100-000058000000}"/>
    <hyperlink ref="E67" r:id="rId90" display="https://docs.google.com/spreadsheets/d/1xiINlF9P00tO-5lGKi3v4S413iujYCm5QJoKUG19a_Y/edit?disco=AAAAJPpqkwI" xr:uid="{00000000-0004-0000-0100-000059000000}"/>
    <hyperlink ref="E68" r:id="rId91" location="gid=2027816149&amp;range=A17" display="https://docs.google.com/spreadsheets/d/1xiINlF9P00tO-5lGKi3v4S413iujYCm5QJoKUG19a_Y/edit - gid=2027816149&amp;range=A17" xr:uid="{00000000-0004-0000-0100-00005A000000}"/>
    <hyperlink ref="F68" r:id="rId92" display="https://apropos.erudit.org/en/implementation-of-a-privacy-policy/" xr:uid="{00000000-0004-0000-0100-00005B000000}"/>
    <hyperlink ref="E71" r:id="rId93" location="gid=2027816149&amp;range=A55" display="https://docs.google.com/spreadsheets/d/1xiINlF9P00tO-5lGKi3v4S413iujYCm5QJoKUG19a_Y/edit - gid=2027816149&amp;range=A55" xr:uid="{00000000-0004-0000-0100-00005C000000}"/>
    <hyperlink ref="F71" r:id="rId94" display="https://www.ravenpack.com/privacy/" xr:uid="{00000000-0004-0000-0100-00005D000000}"/>
    <hyperlink ref="E73" r:id="rId95" display="https://docs.google.com/spreadsheets/d/1xiINlF9P00tO-5lGKi3v4S413iujYCm5QJoKUG19a_Y/edit?disco=AAAAJPvwflA" xr:uid="{00000000-0004-0000-0100-00005E000000}"/>
    <hyperlink ref="E75" r:id="rId96" location="gid=2027816149&amp;range=A32" display="https://docs.google.com/spreadsheets/d/1xiINlF9P00tO-5lGKi3v4S413iujYCm5QJoKUG19a_Y/edit - gid=2027816149&amp;range=A32" xr:uid="{00000000-0004-0000-0100-00005F000000}"/>
  </hyperlinks>
  <pageMargins left="0.7" right="0.7" top="0.75" bottom="0.75" header="0.3" footer="0.3"/>
  <tableParts count="1">
    <tablePart r:id="rId9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Providers</vt:lpstr>
      <vt:lpstr>ICOLC Public View Feed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Costa</dc:creator>
  <cp:lastModifiedBy>Teresa Costa</cp:lastModifiedBy>
  <dcterms:created xsi:type="dcterms:W3CDTF">2020-03-31T10:30:25Z</dcterms:created>
  <dcterms:modified xsi:type="dcterms:W3CDTF">2020-03-31T10:42:33Z</dcterms:modified>
</cp:coreProperties>
</file>